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4"/>
  </bookViews>
  <sheets>
    <sheet name="zał1" sheetId="1" r:id="rId1"/>
    <sheet name="zał2" sheetId="2" r:id="rId2"/>
    <sheet name="zał3" sheetId="3" r:id="rId3"/>
    <sheet name="Uchwała " sheetId="4" r:id="rId4"/>
    <sheet name="Zarządzenie" sheetId="5" r:id="rId5"/>
    <sheet name="Ogółem Zmiany w paragrafach " sheetId="6" r:id="rId6"/>
  </sheets>
  <definedNames>
    <definedName name="_xlnm.Print_Area" localSheetId="5">'Ogółem Zmiany w paragrafach '!$A$1:$K$66</definedName>
    <definedName name="_xlnm.Print_Area" localSheetId="3">'Uchwała '!$A$1:$G$38</definedName>
    <definedName name="_xlnm.Print_Area" localSheetId="0">'zał1'!$A$1:$AA$47</definedName>
    <definedName name="_xlnm.Print_Area" localSheetId="1">'zał2'!$A$1:$Z$57</definedName>
    <definedName name="_xlnm.Print_Area" localSheetId="2">'zał3'!$A$1:$L$86</definedName>
    <definedName name="Excel_BuiltIn_Print_Area_1_1">'zał1'!$A$1:$Z$47</definedName>
    <definedName name="Excel_BuiltIn_Print_Area_6_1">'Ogółem Zmiany w paragrafach '!$A$1:$J$66</definedName>
    <definedName name="Excel_BuiltIn_Print_Area_1_1_1">'zał1'!$A$1:$Z$45</definedName>
    <definedName name="Excel_BuiltIn_Print_Area_2_1">'zał2'!$A$1:$Z$54</definedName>
    <definedName name="Excel_BuiltIn_Print_Area_1_1_1_1">'zał1'!$A$1:$Z$46</definedName>
  </definedNames>
  <calcPr fullCalcOnLoad="1"/>
</workbook>
</file>

<file path=xl/sharedStrings.xml><?xml version="1.0" encoding="utf-8"?>
<sst xmlns="http://schemas.openxmlformats.org/spreadsheetml/2006/main" count="376" uniqueCount="271">
  <si>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</si>
  <si>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</si>
  <si>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</si>
  <si>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</si>
  <si>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</si>
  <si>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</si>
  <si>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</si>
  <si>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</si>
  <si>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</si>
  <si>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</si>
  <si>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</si>
  <si>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</si>
  <si>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</si>
  <si>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</si>
  <si>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</si>
  <si>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</si>
  <si>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</si>
  <si>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</si>
  <si>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</si>
  <si>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</si>
  <si>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</si>
  <si>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</si>
  <si>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</si>
  <si>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</si>
  <si>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</si>
  <si>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</si>
  <si>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</si>
  <si>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</si>
  <si>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</si>
  <si>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</si>
  <si>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</si>
  <si>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</si>
  <si>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</si>
  <si>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</si>
  <si>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</si>
  <si>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</si>
  <si>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</si>
  <si>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</si>
  <si>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</si>
  <si>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</si>
  <si>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</si>
  <si>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</si>
  <si>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</si>
  <si>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</si>
  <si>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</si>
  <si>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</si>
  <si>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</si>
  <si>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</si>
  <si>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</si>
  <si>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</si>
  <si>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</si>
  <si>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</si>
  <si>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</si>
  <si>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</si>
  <si>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</si>
  <si>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</si>
  <si>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</si>
  <si>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</si>
  <si>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</si>
  <si>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</si>
  <si>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</si>
  <si>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</si>
  <si>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</si>
  <si>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</si>
  <si>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</si>
  <si>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</si>
  <si>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</si>
  <si>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</si>
  <si>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</si>
  <si>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</si>
  <si>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</si>
  <si>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</si>
  <si>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</si>
  <si>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</si>
  <si>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</si>
  <si>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</si>
  <si>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</si>
  <si>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</si>
  <si>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</si>
  <si>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</si>
  <si>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</si>
  <si>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</si>
  <si>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</si>
  <si>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</si>
  <si>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</si>
  <si>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</si>
  <si>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</si>
  <si>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</si>
  <si>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</si>
  <si>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</si>
  <si>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</si>
  <si>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</si>
  <si>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</si>
  <si>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</si>
  <si>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</si>
  <si>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</si>
  <si>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</si>
  <si>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</si>
  <si>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</si>
  <si>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</si>
  <si>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</si>
  <si>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</si>
  <si>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</si>
  <si>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</si>
  <si>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</si>
  <si>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</si>
  <si>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</si>
  <si>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</si>
  <si>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</si>
  <si>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</si>
  <si>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</si>
  <si>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</si>
  <si>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</si>
  <si>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</si>
  <si>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</si>
  <si>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</si>
  <si>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</si>
  <si>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</si>
  <si>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</si>
  <si>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</si>
  <si>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</si>
  <si>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</si>
  <si>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</si>
  <si>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</si>
  <si>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</si>
  <si>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</si>
  <si>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</si>
  <si>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</si>
  <si>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</si>
  <si>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</si>
  <si>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</si>
  <si>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</si>
  <si>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</si>
  <si>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</si>
  <si>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</si>
  <si>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</si>
  <si>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</si>
  <si>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</si>
  <si>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</si>
  <si>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</si>
  <si>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</si>
  <si>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</si>
  <si>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</si>
  <si>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</si>
  <si>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</si>
  <si>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</si>
  <si>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</si>
  <si>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</si>
  <si>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</si>
  <si>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</si>
  <si>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Zarządzenia 402/IV/2012
Burmistrza Gołdapi
z dnia 25 kwietnia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</si>
  <si>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</si>
  <si>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</si>
  <si>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</si>
  <si>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</si>
  <si>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</si>
  <si>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</si>
  <si>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</si>
  <si>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</si>
  <si>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</si>
  <si>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</si>
  <si>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</si>
  <si>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</si>
  <si>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</si>
  <si>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</si>
  <si>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</si>
  <si>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</si>
  <si>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</si>
  <si>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</si>
  <si>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</si>
  <si>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</si>
  <si>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</si>
  <si>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</si>
  <si>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</si>
  <si>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</si>
  <si>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</si>
  <si>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</si>
  <si>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</si>
  <si>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</si>
  <si>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</si>
  <si>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</si>
  <si>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</si>
  <si>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</si>
  <si>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</si>
  <si>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</si>
  <si>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</si>
  <si>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</si>
  <si>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</si>
  <si>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</si>
  <si>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</si>
  <si>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</si>
  <si>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t>Uchwała Nr .............. 2012</t>
  </si>
  <si>
    <t>Rady Miejskiej w Gołdapi</t>
  </si>
  <si>
    <t>z dnia ................. 2012 r.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</si>
  <si>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</si>
  <si>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</si>
  <si>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</si>
  <si>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</si>
  <si>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</si>
  <si>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</si>
  <si>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</si>
  <si>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</si>
  <si>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</si>
  <si>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</si>
  <si>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</si>
  <si>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</si>
  <si>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</si>
  <si>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</si>
  <si>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</si>
  <si>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t xml:space="preserve">Zmniejsza się plan wydatków na  przedsięwzięcie „ Odnowa wsi Galwiecie”  o kwotę </t>
  </si>
  <si>
    <t>§ 6</t>
  </si>
  <si>
    <t xml:space="preserve">Wykreśla się z planu wydatków inwestycyjnych przedsięwzięcie:   „Kanalizacja burzowa przy ul. Wojska Polskiego, Kościuszki, Kombatantów” </t>
  </si>
  <si>
    <t>§ 7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</si>
  <si>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</si>
  <si>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8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</si>
  <si>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</si>
  <si>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</si>
  <si>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</si>
  <si>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</si>
  <si>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</si>
  <si>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Zarządzenie nr 402/IV/2012</t>
  </si>
  <si>
    <t>z dnia 25 kwietnia 2012 r.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</si>
  <si>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</si>
  <si>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</si>
  <si>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</si>
  <si>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</si>
  <si>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Zarządzenia 403/IV/2012 z dnia 25 kwietnia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</si>
  <si>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</si>
  <si>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</si>
  <si>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</si>
  <si>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</si>
  <si>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</si>
  <si>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</si>
  <si>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</si>
  <si>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</si>
  <si>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</si>
  <si>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</si>
  <si>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01010</t>
  </si>
  <si>
    <t>01095</t>
  </si>
  <si>
    <t>2010</t>
  </si>
  <si>
    <t>63003</t>
  </si>
  <si>
    <t>75022</t>
  </si>
  <si>
    <t>75101</t>
  </si>
  <si>
    <t>85415</t>
  </si>
  <si>
    <t>2030</t>
  </si>
  <si>
    <t>90001</t>
  </si>
  <si>
    <t>90095</t>
  </si>
  <si>
    <t>SUMA</t>
  </si>
  <si>
    <t>PER SALDO</t>
  </si>
  <si>
    <t>do WPF</t>
  </si>
  <si>
    <t>Zmiana deficytu(+,-)</t>
  </si>
  <si>
    <t>Załączniki:</t>
  </si>
  <si>
    <t>Wynagrodzenia i poch.</t>
  </si>
  <si>
    <t>1) dochody</t>
  </si>
  <si>
    <r>
      <t>do WPF</t>
    </r>
    <r>
      <rPr>
        <sz val="10"/>
        <rFont val="Arial"/>
        <family val="2"/>
      </rPr>
      <t xml:space="preserve"> per saldo</t>
    </r>
  </si>
  <si>
    <t xml:space="preserve">2) wydatki </t>
  </si>
  <si>
    <t>§ 401, 411,412</t>
  </si>
  <si>
    <t>3)inwestycje jedn i wieloletnie</t>
  </si>
  <si>
    <t>Na funkcjonowanie jst</t>
  </si>
  <si>
    <t>4)inwestycje UE</t>
  </si>
  <si>
    <t>5) Zadania zlecone , adm rządowa</t>
  </si>
  <si>
    <t>Rozdz. 75022-23</t>
  </si>
  <si>
    <t>MINUS MAJATKOWE!!!!!!!!!!!!!!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</si>
  <si>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</si>
  <si>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</si>
  <si>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</si>
  <si>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</si>
  <si>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</si>
  <si>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</si>
  <si>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</si>
  <si>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Zadania zlecone z zakresu administracji rządowej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</si>
</sst>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</numFmts>
  <fonts count="39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8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3" fillId="2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2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0" fillId="0" borderId="0" xfId="0" applyFont="1" applyBorder="1" applyAlignment="1">
      <alignment wrapText="1"/>
    </xf>
    <xf numFmtId="164" fontId="34" fillId="0" borderId="0" xfId="0" applyFont="1" applyBorder="1" applyAlignment="1">
      <alignment/>
    </xf>
    <xf numFmtId="164" fontId="3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3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35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6" fontId="0" fillId="3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 horizontal="right"/>
    </xf>
    <xf numFmtId="172" fontId="0" fillId="2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72" fontId="37" fillId="2" borderId="1" xfId="0" applyNumberFormat="1" applyFont="1" applyFill="1" applyBorder="1" applyAlignment="1">
      <alignment horizontal="right"/>
    </xf>
    <xf numFmtId="166" fontId="37" fillId="2" borderId="1" xfId="0" applyNumberFormat="1" applyFont="1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64" fontId="38" fillId="0" borderId="2" xfId="0" applyFont="1" applyBorder="1" applyAlignment="1">
      <alignment/>
    </xf>
    <xf numFmtId="164" fontId="38" fillId="0" borderId="2" xfId="0" applyFont="1" applyFill="1" applyBorder="1" applyAlignment="1">
      <alignment/>
    </xf>
    <xf numFmtId="166" fontId="38" fillId="0" borderId="2" xfId="0" applyNumberFormat="1" applyFont="1" applyFill="1" applyBorder="1" applyAlignment="1">
      <alignment/>
    </xf>
    <xf numFmtId="164" fontId="38" fillId="2" borderId="2" xfId="0" applyFont="1" applyFill="1" applyBorder="1" applyAlignment="1">
      <alignment/>
    </xf>
    <xf numFmtId="164" fontId="38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38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2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F30" sqref="F30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 t="s">
        <v>1</v>
      </c>
      <c r="AA1" s="4"/>
    </row>
    <row r="2" spans="6:27" ht="46.5" customHeight="1">
      <c r="F2" s="5"/>
      <c r="Z2" s="6" t="str">
        <f>zał3!J2</f>
        <v>Do Zarządzenia 402/IV/2012
Burmistrza Gołdapi
z dnia 25 kwietnia 2012r.</v>
      </c>
      <c r="AA2" s="6"/>
    </row>
    <row r="3" spans="1:27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8">
        <v>2008</v>
      </c>
      <c r="D4" s="8">
        <v>2009</v>
      </c>
      <c r="E4" s="8">
        <v>2010</v>
      </c>
      <c r="F4" s="9">
        <v>2011</v>
      </c>
      <c r="G4" s="10">
        <v>2012</v>
      </c>
      <c r="H4" s="8">
        <v>2013</v>
      </c>
      <c r="I4" s="8">
        <v>2014</v>
      </c>
      <c r="J4" s="8">
        <v>2015</v>
      </c>
      <c r="K4" s="8">
        <v>2016</v>
      </c>
      <c r="L4" s="8">
        <v>2017</v>
      </c>
      <c r="M4" s="8">
        <v>2018</v>
      </c>
      <c r="N4" s="8">
        <v>2019</v>
      </c>
      <c r="O4" s="8">
        <v>2020</v>
      </c>
      <c r="P4" s="8">
        <v>2021</v>
      </c>
      <c r="Q4" s="8">
        <v>2022</v>
      </c>
      <c r="R4" s="8">
        <v>2023</v>
      </c>
      <c r="S4" s="8">
        <v>2024</v>
      </c>
      <c r="T4" s="8">
        <v>2025</v>
      </c>
      <c r="U4" s="8">
        <v>2026</v>
      </c>
      <c r="V4" s="8">
        <v>2027</v>
      </c>
      <c r="W4" s="8">
        <v>2028</v>
      </c>
      <c r="X4" s="8">
        <v>2029</v>
      </c>
      <c r="Y4" s="8">
        <v>2030</v>
      </c>
      <c r="Z4" s="8">
        <v>2031</v>
      </c>
      <c r="AA4" s="8">
        <v>2032</v>
      </c>
    </row>
    <row r="5" spans="1:27" ht="12.75">
      <c r="A5" s="11">
        <v>1</v>
      </c>
      <c r="B5" s="12" t="s">
        <v>5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3">
        <f>SUM(F6:F7)</f>
        <v>72674133.27</v>
      </c>
      <c r="G5" s="13">
        <f>SUM(G6:G7)</f>
        <v>80280638.61</v>
      </c>
      <c r="H5" s="13">
        <f>SUM(H6:H7)</f>
        <v>67576240.70291</v>
      </c>
      <c r="I5" s="13">
        <f>SUM(I6:I7)</f>
        <v>64918742.96070021</v>
      </c>
      <c r="J5" s="13">
        <f>SUM(J6:J7)</f>
        <v>66927583.30848192</v>
      </c>
      <c r="K5" s="13">
        <f>SUM(K6:K7)</f>
        <v>68998588.48652485</v>
      </c>
      <c r="L5" s="13">
        <f>SUM(L6:L7)</f>
        <v>71133682.32795152</v>
      </c>
      <c r="M5" s="13">
        <f>SUM(M6:M7)</f>
        <v>73334848.20641276</v>
      </c>
      <c r="N5" s="13">
        <f>SUM(N6:N7)</f>
        <v>75604130.87889512</v>
      </c>
      <c r="O5" s="13">
        <f>SUM(O6:O7)</f>
        <v>77943638.38556695</v>
      </c>
      <c r="P5" s="13">
        <f>SUM(P6:P7)</f>
        <v>80355544.0084284</v>
      </c>
      <c r="Q5" s="13">
        <f>SUM(Q6:Q7)</f>
        <v>82842088.2905858</v>
      </c>
      <c r="R5" s="13">
        <f>SUM(R6:R7)</f>
        <v>85405581.11802697</v>
      </c>
      <c r="S5" s="13">
        <f>SUM(S6:S7)</f>
        <v>88048403.8658318</v>
      </c>
      <c r="T5" s="13">
        <f>SUM(T6:T7)</f>
        <v>90773011.61081298</v>
      </c>
      <c r="U5" s="13">
        <f>SUM(U6:U7)</f>
        <v>93581935.41264278</v>
      </c>
      <c r="V5" s="13">
        <f>SUM(V6:V7)</f>
        <v>96477784.66558614</v>
      </c>
      <c r="W5" s="13">
        <f>SUM(W6:W7)</f>
        <v>99463249.52302529</v>
      </c>
      <c r="X5" s="13">
        <f>SUM(X6:X7)</f>
        <v>102541103.39702922</v>
      </c>
      <c r="Y5" s="13">
        <f>SUM(Y6:Y7)</f>
        <v>105714205.53529099</v>
      </c>
      <c r="Z5" s="13">
        <f>SUM(Z6:Z7)</f>
        <v>108985503.67782749</v>
      </c>
      <c r="AA5" s="13">
        <f>SUM(AA6:AA7)</f>
        <v>112358036.7959109</v>
      </c>
    </row>
    <row r="6" spans="1:27" ht="12.75">
      <c r="A6" s="14" t="s">
        <v>6</v>
      </c>
      <c r="B6" s="15" t="s">
        <v>7</v>
      </c>
      <c r="C6" s="16">
        <v>48236781</v>
      </c>
      <c r="D6" s="16">
        <v>54877794</v>
      </c>
      <c r="E6" s="17">
        <f>zał2!D6</f>
        <v>59404315.82</v>
      </c>
      <c r="F6" s="17">
        <f>zał2!E6</f>
        <v>61924678.14</v>
      </c>
      <c r="G6" s="17">
        <f>zał2!F6</f>
        <v>57648454.61</v>
      </c>
      <c r="H6" s="17">
        <f>zał2!G6</f>
        <v>59435556.70291</v>
      </c>
      <c r="I6" s="17">
        <f>zał2!H6</f>
        <v>61278058.96070021</v>
      </c>
      <c r="J6" s="17">
        <f>zał2!I6</f>
        <v>63177678.78848191</v>
      </c>
      <c r="K6" s="17">
        <f>zał2!J6</f>
        <v>65136186.83092485</v>
      </c>
      <c r="L6" s="17">
        <f>zał2!K6</f>
        <v>67155408.62268353</v>
      </c>
      <c r="M6" s="17">
        <f>zał2!L6</f>
        <v>69237226.28998671</v>
      </c>
      <c r="N6" s="17">
        <f>zał2!M6</f>
        <v>71383580.3049763</v>
      </c>
      <c r="O6" s="17">
        <f>zał2!N6</f>
        <v>73596471.29443057</v>
      </c>
      <c r="P6" s="17">
        <f>zał2!O6</f>
        <v>75877961.90455791</v>
      </c>
      <c r="Q6" s="17">
        <f>zał2!P6</f>
        <v>78230178.72359921</v>
      </c>
      <c r="R6" s="17">
        <f>zał2!Q6</f>
        <v>80655314.26403078</v>
      </c>
      <c r="S6" s="17">
        <f>zał2!R6</f>
        <v>83155629.00621574</v>
      </c>
      <c r="T6" s="17">
        <f>zał2!S6</f>
        <v>85733453.50540842</v>
      </c>
      <c r="U6" s="17">
        <f>zał2!T6</f>
        <v>88391190.56407608</v>
      </c>
      <c r="V6" s="17">
        <f>zał2!U6</f>
        <v>91131317.47156245</v>
      </c>
      <c r="W6" s="17">
        <f>zał2!V6</f>
        <v>93956388.31318088</v>
      </c>
      <c r="X6" s="17">
        <f>zał2!W6</f>
        <v>96869036.35088949</v>
      </c>
      <c r="Y6" s="17">
        <f>zał2!X6</f>
        <v>99871976.47776707</v>
      </c>
      <c r="Z6" s="17">
        <f>zał2!Y6</f>
        <v>102968007.74857785</v>
      </c>
      <c r="AA6" s="17">
        <f>zał2!Z6</f>
        <v>106160015.98878376</v>
      </c>
    </row>
    <row r="7" spans="1:27" ht="12.75">
      <c r="A7" s="14" t="s">
        <v>8</v>
      </c>
      <c r="B7" s="15" t="s">
        <v>9</v>
      </c>
      <c r="C7" s="16">
        <v>8366132</v>
      </c>
      <c r="D7" s="16">
        <v>10760668</v>
      </c>
      <c r="E7" s="17">
        <f>zał2!D7</f>
        <v>16662380.21</v>
      </c>
      <c r="F7" s="17">
        <f>zał2!E7</f>
        <v>10749455.13</v>
      </c>
      <c r="G7" s="17">
        <f>zał2!F7</f>
        <v>22632184</v>
      </c>
      <c r="H7" s="17">
        <f>zał2!G7</f>
        <v>8140684</v>
      </c>
      <c r="I7" s="17">
        <f>zał2!H7</f>
        <v>3640684</v>
      </c>
      <c r="J7" s="17">
        <f>zał2!I7</f>
        <v>3749904.52</v>
      </c>
      <c r="K7" s="17">
        <f>zał2!J7</f>
        <v>3862401.6556</v>
      </c>
      <c r="L7" s="17">
        <f>zał2!K7</f>
        <v>3978273.7052680003</v>
      </c>
      <c r="M7" s="17">
        <f>zał2!L7</f>
        <v>4097621.91642604</v>
      </c>
      <c r="N7" s="17">
        <f>zał2!M7</f>
        <v>4220550.573918821</v>
      </c>
      <c r="O7" s="17">
        <f>zał2!N7</f>
        <v>4347167.091136386</v>
      </c>
      <c r="P7" s="17">
        <f>zał2!O7</f>
        <v>4477582.1038704775</v>
      </c>
      <c r="Q7" s="17">
        <f>zał2!P7</f>
        <v>4611909.566986592</v>
      </c>
      <c r="R7" s="17">
        <f>zał2!Q7</f>
        <v>4750266.853996189</v>
      </c>
      <c r="S7" s="17">
        <f>zał2!R7</f>
        <v>4892774.859616075</v>
      </c>
      <c r="T7" s="17">
        <f>zał2!S7</f>
        <v>5039558.105404557</v>
      </c>
      <c r="U7" s="17">
        <f>zał2!T7</f>
        <v>5190744.848566693</v>
      </c>
      <c r="V7" s="17">
        <f>zał2!U7</f>
        <v>5346467.194023694</v>
      </c>
      <c r="W7" s="17">
        <f>zał2!V7</f>
        <v>5506861.209844405</v>
      </c>
      <c r="X7" s="17">
        <f>zał2!W7</f>
        <v>5672067.046139737</v>
      </c>
      <c r="Y7" s="17">
        <f>zał2!X7</f>
        <v>5842229.057523929</v>
      </c>
      <c r="Z7" s="17">
        <f>zał2!Y7</f>
        <v>6017495.929249646</v>
      </c>
      <c r="AA7" s="17">
        <f>zał2!Z7</f>
        <v>6198020.807127136</v>
      </c>
    </row>
    <row r="8" spans="1:27" ht="12.75">
      <c r="A8" s="14" t="s">
        <v>10</v>
      </c>
      <c r="B8" s="15" t="s">
        <v>11</v>
      </c>
      <c r="C8" s="16">
        <v>2943102</v>
      </c>
      <c r="D8" s="16">
        <v>1702924</v>
      </c>
      <c r="E8" s="17">
        <f>zał2!D8</f>
        <v>1908591.03</v>
      </c>
      <c r="F8" s="17">
        <f>zał2!E8</f>
        <v>1643757.32</v>
      </c>
      <c r="G8" s="17">
        <f>zał2!F8</f>
        <v>4830000</v>
      </c>
      <c r="H8" s="17">
        <f>zał2!G8</f>
        <v>6000000</v>
      </c>
      <c r="I8" s="17">
        <f>zał2!H8</f>
        <v>1500000</v>
      </c>
      <c r="J8" s="17">
        <f>zał2!I8</f>
        <v>1545000</v>
      </c>
      <c r="K8" s="17">
        <f>zał2!J8</f>
        <v>1591350</v>
      </c>
      <c r="L8" s="17">
        <f>zał2!K8</f>
        <v>1639090.5</v>
      </c>
      <c r="M8" s="17">
        <f>zał2!L8</f>
        <v>1688263.215</v>
      </c>
      <c r="N8" s="17">
        <f>zał2!M8</f>
        <v>1738911.1114500002</v>
      </c>
      <c r="O8" s="17">
        <f>zał2!N8</f>
        <v>1791078.4447935002</v>
      </c>
      <c r="P8" s="17">
        <f>zał2!O8</f>
        <v>1844810.7981373053</v>
      </c>
      <c r="Q8" s="17">
        <f>zał2!P8</f>
        <v>1900155.1220814246</v>
      </c>
      <c r="R8" s="17">
        <f>zał2!Q8</f>
        <v>1957159.7757438673</v>
      </c>
      <c r="S8" s="17">
        <f>zał2!R8</f>
        <v>2015874.5690161833</v>
      </c>
      <c r="T8" s="17">
        <f>zał2!S8</f>
        <v>2076350.8060866687</v>
      </c>
      <c r="U8" s="17">
        <f>zał2!T8</f>
        <v>2138641.3302692687</v>
      </c>
      <c r="V8" s="17">
        <f>zał2!U8</f>
        <v>2202800.570177347</v>
      </c>
      <c r="W8" s="17">
        <f>zał2!V8</f>
        <v>2268884.5872826674</v>
      </c>
      <c r="X8" s="17">
        <f>zał2!W8</f>
        <v>2336951.1249011476</v>
      </c>
      <c r="Y8" s="17">
        <f>zał2!X8</f>
        <v>2407059.658648182</v>
      </c>
      <c r="Z8" s="17">
        <f>zał2!Y8</f>
        <v>2479271.4484076276</v>
      </c>
      <c r="AA8" s="17">
        <f>zał2!Z8</f>
        <v>2553649.5918598566</v>
      </c>
    </row>
    <row r="9" spans="1:27" ht="12.75">
      <c r="A9" s="14" t="s">
        <v>12</v>
      </c>
      <c r="B9" s="18" t="s">
        <v>13</v>
      </c>
      <c r="C9" s="19" t="s">
        <v>14</v>
      </c>
      <c r="D9" s="16">
        <v>175433.62</v>
      </c>
      <c r="E9" s="20">
        <v>206904.9</v>
      </c>
      <c r="F9" s="20">
        <v>250061.36</v>
      </c>
      <c r="G9" s="20">
        <v>100000</v>
      </c>
      <c r="H9" s="17">
        <f>G9</f>
        <v>100000</v>
      </c>
      <c r="I9" s="17">
        <f>H9</f>
        <v>100000</v>
      </c>
      <c r="J9" s="17">
        <f>I9</f>
        <v>100000</v>
      </c>
      <c r="K9" s="17">
        <f>J9</f>
        <v>100000</v>
      </c>
      <c r="L9" s="17">
        <f>K9</f>
        <v>100000</v>
      </c>
      <c r="M9" s="17">
        <f>L9</f>
        <v>100000</v>
      </c>
      <c r="N9" s="17">
        <f>M9</f>
        <v>100000</v>
      </c>
      <c r="O9" s="17">
        <f>N9</f>
        <v>100000</v>
      </c>
      <c r="P9" s="17">
        <f>O9</f>
        <v>100000</v>
      </c>
      <c r="Q9" s="17">
        <f>P9</f>
        <v>100000</v>
      </c>
      <c r="R9" s="17">
        <f>Q9</f>
        <v>100000</v>
      </c>
      <c r="S9" s="17">
        <f>R9</f>
        <v>100000</v>
      </c>
      <c r="T9" s="17">
        <f>S9</f>
        <v>100000</v>
      </c>
      <c r="U9" s="17">
        <f>T9</f>
        <v>100000</v>
      </c>
      <c r="V9" s="17">
        <f>U9</f>
        <v>100000</v>
      </c>
      <c r="W9" s="17">
        <f>V9</f>
        <v>100000</v>
      </c>
      <c r="X9" s="17">
        <f>W9</f>
        <v>100000</v>
      </c>
      <c r="Y9" s="17">
        <f>X9</f>
        <v>100000</v>
      </c>
      <c r="Z9" s="17">
        <f>Y9</f>
        <v>100000</v>
      </c>
      <c r="AA9" s="17">
        <f>Z9</f>
        <v>100000</v>
      </c>
    </row>
    <row r="10" spans="1:27" ht="12.75">
      <c r="A10" s="11">
        <v>2</v>
      </c>
      <c r="B10" s="21" t="s">
        <v>15</v>
      </c>
      <c r="C10" s="16">
        <v>45362971</v>
      </c>
      <c r="D10" s="16">
        <v>50589750</v>
      </c>
      <c r="E10" s="17">
        <f>E54</f>
        <v>53228203.61</v>
      </c>
      <c r="F10" s="17">
        <f>F54</f>
        <v>52905908.55</v>
      </c>
      <c r="G10" s="17">
        <f>G54</f>
        <v>56523494.61</v>
      </c>
      <c r="H10" s="17">
        <f>H54</f>
        <v>48886961.92407</v>
      </c>
      <c r="I10" s="17">
        <f>I54</f>
        <v>50769250.49814</v>
      </c>
      <c r="J10" s="17">
        <f>J54</f>
        <v>52553357.20221</v>
      </c>
      <c r="K10" s="17">
        <f>K54</f>
        <v>54384771.77538</v>
      </c>
      <c r="L10" s="17">
        <f>L54</f>
        <v>56264913.453723006</v>
      </c>
      <c r="M10" s="17">
        <f>M54</f>
        <v>58195244.05039419</v>
      </c>
      <c r="N10" s="17">
        <f>N54</f>
        <v>60177269.77294342</v>
      </c>
      <c r="O10" s="17">
        <f>O54</f>
        <v>62151643.73234703</v>
      </c>
      <c r="P10" s="17">
        <f>P54</f>
        <v>64088011.75410864</v>
      </c>
      <c r="Q10" s="17">
        <f>Q54</f>
        <v>66080867.845612995</v>
      </c>
      <c r="R10" s="17">
        <f>R54</f>
        <v>68131906.64895238</v>
      </c>
      <c r="S10" s="17">
        <f>S54</f>
        <v>70242873.64548185</v>
      </c>
      <c r="T10" s="17">
        <f>T54</f>
        <v>72415566.6809971</v>
      </c>
      <c r="U10" s="17">
        <f>U54</f>
        <v>74651837.53666772</v>
      </c>
      <c r="V10" s="17">
        <f>V54</f>
        <v>76953593.54709834</v>
      </c>
      <c r="W10" s="17">
        <f>W54</f>
        <v>79322799.2669318</v>
      </c>
      <c r="X10" s="17">
        <f>X54</f>
        <v>81761478.18745016</v>
      </c>
      <c r="Y10" s="17">
        <f>Y54</f>
        <v>84271714.50467396</v>
      </c>
      <c r="Z10" s="17">
        <f>Z54</f>
        <v>86855655.66050439</v>
      </c>
      <c r="AA10" s="17">
        <f>AA54</f>
        <v>89487200.45849961</v>
      </c>
    </row>
    <row r="11" spans="1:27" ht="12.75">
      <c r="A11" s="14" t="s">
        <v>6</v>
      </c>
      <c r="B11" s="18" t="s">
        <v>16</v>
      </c>
      <c r="C11" s="16">
        <v>19066808</v>
      </c>
      <c r="D11" s="16">
        <v>21525882</v>
      </c>
      <c r="E11" s="22">
        <v>23164024.05</v>
      </c>
      <c r="F11" s="23">
        <v>24037884.81</v>
      </c>
      <c r="G11" s="23">
        <f>25531313+722-3600+277-425-24000+6138</f>
        <v>25510425</v>
      </c>
      <c r="H11" s="17">
        <f>SUM(G11+0.03*G11)</f>
        <v>26275737.75</v>
      </c>
      <c r="I11" s="17">
        <f>SUM(H11+0.03*H11)</f>
        <v>27064009.8825</v>
      </c>
      <c r="J11" s="17">
        <f>SUM(I11+0.03*I11)</f>
        <v>27875930.178975</v>
      </c>
      <c r="K11" s="17">
        <f>SUM(J11+0.03*J11)</f>
        <v>28712208.08434425</v>
      </c>
      <c r="L11" s="17">
        <f>SUM(K11+0.03*K11)</f>
        <v>29573574.326874577</v>
      </c>
      <c r="M11" s="17">
        <f>SUM(L11+0.03*L11)</f>
        <v>30460781.556680813</v>
      </c>
      <c r="N11" s="17">
        <f>SUM(M11+0.03*M11)</f>
        <v>31374605.003381237</v>
      </c>
      <c r="O11" s="17">
        <f>SUM(N11+0.03*N11)</f>
        <v>32315843.153482676</v>
      </c>
      <c r="P11" s="17">
        <f>SUM(O11+0.03*O11)</f>
        <v>33285318.448087156</v>
      </c>
      <c r="Q11" s="17">
        <f>SUM(P11+0.03*P11)</f>
        <v>34283878.00152977</v>
      </c>
      <c r="R11" s="17">
        <f>SUM(Q11+0.03*Q11)</f>
        <v>35312394.34157566</v>
      </c>
      <c r="S11" s="17">
        <f>SUM(R11+0.03*R11)</f>
        <v>36371766.17182293</v>
      </c>
      <c r="T11" s="17">
        <f>SUM(S11+0.03*S11)</f>
        <v>37462919.156977616</v>
      </c>
      <c r="U11" s="17">
        <f>SUM(T11+0.03*T11)</f>
        <v>38586806.73168694</v>
      </c>
      <c r="V11" s="17">
        <f>SUM(U11+0.03*U11)</f>
        <v>39744410.93363755</v>
      </c>
      <c r="W11" s="17">
        <f>SUM(V11+0.03*V11)</f>
        <v>40936743.26164668</v>
      </c>
      <c r="X11" s="17">
        <f>SUM(W11+0.03*W11)</f>
        <v>42164845.55949608</v>
      </c>
      <c r="Y11" s="17">
        <f>SUM(X11+0.03*X11)</f>
        <v>43429790.92628097</v>
      </c>
      <c r="Z11" s="17">
        <f>SUM(Y11+0.03*Y11)</f>
        <v>44732684.654069394</v>
      </c>
      <c r="AA11" s="17">
        <f>SUM(Z11+0.03*Z11)</f>
        <v>46074665.19369148</v>
      </c>
    </row>
    <row r="12" spans="1:27" ht="12.75">
      <c r="A12" s="14" t="s">
        <v>8</v>
      </c>
      <c r="B12" s="15" t="s">
        <v>17</v>
      </c>
      <c r="C12" s="16">
        <v>3797329</v>
      </c>
      <c r="D12" s="16">
        <v>4009351</v>
      </c>
      <c r="E12" s="22">
        <v>3909060.3</v>
      </c>
      <c r="F12" s="23">
        <v>3712043.36</v>
      </c>
      <c r="G12" s="23">
        <f>4435000-6840</f>
        <v>4428160</v>
      </c>
      <c r="H12" s="17">
        <f>SUM(G12+0.03*G12)</f>
        <v>4561004.8</v>
      </c>
      <c r="I12" s="17">
        <f>SUM(H12+0.03*H12)</f>
        <v>4697834.944</v>
      </c>
      <c r="J12" s="17">
        <f>SUM(I12+0.03*I12)</f>
        <v>4838769.99232</v>
      </c>
      <c r="K12" s="17">
        <f>SUM(J12+0.03*J12)</f>
        <v>4983933.0920896</v>
      </c>
      <c r="L12" s="17">
        <f>SUM(K12+0.03*K12)</f>
        <v>5133451.084852288</v>
      </c>
      <c r="M12" s="17">
        <f>SUM(L12+0.03*L12)</f>
        <v>5287454.617397856</v>
      </c>
      <c r="N12" s="17">
        <f>SUM(M12+0.03*M12)</f>
        <v>5446078.255919792</v>
      </c>
      <c r="O12" s="17">
        <f>SUM(N12+0.03*N12)</f>
        <v>5609460.603597386</v>
      </c>
      <c r="P12" s="17">
        <f>SUM(O12+0.03*O12)</f>
        <v>5777744.421705307</v>
      </c>
      <c r="Q12" s="17">
        <f>SUM(P12+0.03*P12)</f>
        <v>5951076.754356466</v>
      </c>
      <c r="R12" s="17">
        <f>SUM(Q12+0.03*Q12)</f>
        <v>6129609.05698716</v>
      </c>
      <c r="S12" s="17">
        <f>SUM(R12+0.03*R12)</f>
        <v>6313497.328696774</v>
      </c>
      <c r="T12" s="17">
        <f>SUM(S12+0.03*S12)</f>
        <v>6502902.2485576775</v>
      </c>
      <c r="U12" s="17">
        <f>SUM(T12+0.03*T12)</f>
        <v>6697989.316014408</v>
      </c>
      <c r="V12" s="17">
        <f>SUM(U12+0.03*U12)</f>
        <v>6898928.995494841</v>
      </c>
      <c r="W12" s="17">
        <f>SUM(V12+0.03*V12)</f>
        <v>7105896.865359686</v>
      </c>
      <c r="X12" s="17">
        <f>SUM(W12+0.03*W12)</f>
        <v>7319073.771320477</v>
      </c>
      <c r="Y12" s="17">
        <f>SUM(X12+0.03*X12)</f>
        <v>7538645.984460091</v>
      </c>
      <c r="Z12" s="17">
        <f>SUM(Y12+0.03*Y12)</f>
        <v>7764805.363993894</v>
      </c>
      <c r="AA12" s="17">
        <f>SUM(Z12+0.03*Z12)</f>
        <v>7997749.5249137115</v>
      </c>
    </row>
    <row r="13" spans="1:27" ht="12.75">
      <c r="A13" s="14" t="s">
        <v>10</v>
      </c>
      <c r="B13" s="18" t="s">
        <v>18</v>
      </c>
      <c r="C13" s="16">
        <v>62867</v>
      </c>
      <c r="D13" s="16">
        <v>90829</v>
      </c>
      <c r="E13" s="17">
        <f>zał2!D33</f>
        <v>480000</v>
      </c>
      <c r="F13" s="17">
        <f>zał2!E33</f>
        <v>348000</v>
      </c>
      <c r="G13" s="17">
        <f>zał2!F33</f>
        <v>192000</v>
      </c>
      <c r="H13" s="17">
        <f>zał2!G33</f>
        <v>0</v>
      </c>
      <c r="I13" s="17">
        <f>zał2!H33</f>
        <v>0</v>
      </c>
      <c r="J13" s="17">
        <f>zał2!I33</f>
        <v>0</v>
      </c>
      <c r="K13" s="17">
        <f>zał2!J33</f>
        <v>0</v>
      </c>
      <c r="L13" s="17">
        <f>zał2!K33</f>
        <v>0</v>
      </c>
      <c r="M13" s="17">
        <f>zał2!L33</f>
        <v>0</v>
      </c>
      <c r="N13" s="17">
        <f>zał2!M33</f>
        <v>0</v>
      </c>
      <c r="O13" s="17">
        <f>zał2!N33</f>
        <v>0</v>
      </c>
      <c r="P13" s="17">
        <f>zał2!O33</f>
        <v>0</v>
      </c>
      <c r="Q13" s="17">
        <f>zał2!P33</f>
        <v>0</v>
      </c>
      <c r="R13" s="17">
        <f>zał2!Q33</f>
        <v>0</v>
      </c>
      <c r="S13" s="17">
        <f>zał2!R33</f>
        <v>0</v>
      </c>
      <c r="T13" s="17">
        <f>zał2!S33</f>
        <v>0</v>
      </c>
      <c r="U13" s="17">
        <f>zał2!T33</f>
        <v>0</v>
      </c>
      <c r="V13" s="17">
        <f>zał2!U33</f>
        <v>0</v>
      </c>
      <c r="W13" s="17">
        <f>zał2!V33</f>
        <v>0</v>
      </c>
      <c r="X13" s="17">
        <f>zał2!W33</f>
        <v>0</v>
      </c>
      <c r="Y13" s="17">
        <f>zał2!X33</f>
        <v>0</v>
      </c>
      <c r="Z13" s="17">
        <f>zał2!Y33</f>
        <v>0</v>
      </c>
      <c r="AA13" s="17">
        <f>zał2!Z33</f>
        <v>0</v>
      </c>
    </row>
    <row r="14" spans="1:27" ht="12.75">
      <c r="A14" s="14" t="s">
        <v>12</v>
      </c>
      <c r="B14" s="18" t="s">
        <v>19</v>
      </c>
      <c r="C14" s="16">
        <v>0</v>
      </c>
      <c r="D14" s="16">
        <v>0</v>
      </c>
      <c r="E14" s="16">
        <v>0</v>
      </c>
      <c r="F14" s="17">
        <f>zał2!E34</f>
        <v>0</v>
      </c>
      <c r="G14" s="17">
        <f>zał2!F34</f>
        <v>0</v>
      </c>
      <c r="H14" s="17">
        <f>zał2!G34</f>
        <v>0</v>
      </c>
      <c r="I14" s="17">
        <f>zał2!H34</f>
        <v>0</v>
      </c>
      <c r="J14" s="17">
        <f>zał2!I34</f>
        <v>0</v>
      </c>
      <c r="K14" s="17">
        <f>zał2!J34</f>
        <v>0</v>
      </c>
      <c r="L14" s="17">
        <f>zał2!K34</f>
        <v>0</v>
      </c>
      <c r="M14" s="17">
        <f>zał2!L34</f>
        <v>0</v>
      </c>
      <c r="N14" s="17">
        <f>zał2!M34</f>
        <v>0</v>
      </c>
      <c r="O14" s="17">
        <f>zał2!N34</f>
        <v>0</v>
      </c>
      <c r="P14" s="17">
        <f>zał2!O34</f>
        <v>0</v>
      </c>
      <c r="Q14" s="17">
        <f>zał2!P34</f>
        <v>0</v>
      </c>
      <c r="R14" s="17">
        <f>zał2!Q34</f>
        <v>0</v>
      </c>
      <c r="S14" s="17">
        <f>zał2!R34</f>
        <v>0</v>
      </c>
      <c r="T14" s="17">
        <f>zał2!S34</f>
        <v>0</v>
      </c>
      <c r="U14" s="17">
        <f>zał2!T34</f>
        <v>0</v>
      </c>
      <c r="V14" s="17">
        <f>zał2!U34</f>
        <v>0</v>
      </c>
      <c r="W14" s="17">
        <f>zał2!V34</f>
        <v>0</v>
      </c>
      <c r="X14" s="17">
        <f>zał2!W34</f>
        <v>0</v>
      </c>
      <c r="Y14" s="17">
        <f>zał2!X34</f>
        <v>0</v>
      </c>
      <c r="Z14" s="17">
        <f>zał2!Y34</f>
        <v>0</v>
      </c>
      <c r="AA14" s="17">
        <f>zał2!Z34</f>
        <v>0</v>
      </c>
    </row>
    <row r="15" spans="1:27" ht="12.75">
      <c r="A15" s="14" t="s">
        <v>20</v>
      </c>
      <c r="B15" s="18" t="s">
        <v>21</v>
      </c>
      <c r="C15" s="16">
        <v>0</v>
      </c>
      <c r="D15" s="16">
        <v>0</v>
      </c>
      <c r="E15" s="16">
        <v>0</v>
      </c>
      <c r="F15" s="17">
        <f>zał3!G9</f>
        <v>1870008.32</v>
      </c>
      <c r="G15" s="17">
        <f>zał3!H9</f>
        <v>470085</v>
      </c>
      <c r="H15" s="17">
        <f>zał3!I9</f>
        <v>55620</v>
      </c>
      <c r="I15" s="17">
        <f>zał3!J9</f>
        <v>30000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27" ht="12.75">
      <c r="A16" s="11">
        <v>3</v>
      </c>
      <c r="B16" s="21" t="s">
        <v>22</v>
      </c>
      <c r="C16" s="13">
        <f>SUM(C5-C10)</f>
        <v>11239942</v>
      </c>
      <c r="D16" s="13">
        <f>SUM(D5-D10)</f>
        <v>15048712</v>
      </c>
      <c r="E16" s="13">
        <f>SUM(E5-E10)</f>
        <v>22838492.42</v>
      </c>
      <c r="F16" s="13">
        <f>SUM(F5-F10)</f>
        <v>19768224.72</v>
      </c>
      <c r="G16" s="13">
        <f>SUM(G5-G10)</f>
        <v>23757144</v>
      </c>
      <c r="H16" s="13">
        <f>SUM(H5-H10)</f>
        <v>18689278.778840005</v>
      </c>
      <c r="I16" s="13">
        <f>SUM(I5-I10)</f>
        <v>14149492.462560207</v>
      </c>
      <c r="J16" s="13">
        <f>SUM(J5-J10)</f>
        <v>14374226.106271915</v>
      </c>
      <c r="K16" s="13">
        <f>SUM(K5-K10)</f>
        <v>14613816.71114485</v>
      </c>
      <c r="L16" s="13">
        <f>SUM(L5-L10)</f>
        <v>14868768.874228515</v>
      </c>
      <c r="M16" s="13">
        <f>SUM(M5-M10)</f>
        <v>15139604.15601857</v>
      </c>
      <c r="N16" s="13">
        <f>SUM(N5-N10)</f>
        <v>15426861.105951697</v>
      </c>
      <c r="O16" s="13">
        <f>SUM(O5-O10)</f>
        <v>15791994.653219923</v>
      </c>
      <c r="P16" s="13">
        <f>SUM(P5-P10)</f>
        <v>16267532.254319757</v>
      </c>
      <c r="Q16" s="13">
        <f>SUM(Q5-Q10)</f>
        <v>16761220.444972806</v>
      </c>
      <c r="R16" s="13">
        <f>SUM(R5-R10)</f>
        <v>17273674.469074592</v>
      </c>
      <c r="S16" s="13">
        <f>SUM(S5-S10)</f>
        <v>17805530.220349953</v>
      </c>
      <c r="T16" s="13">
        <f>SUM(T5-T10)</f>
        <v>18357444.929815874</v>
      </c>
      <c r="U16" s="13">
        <f>SUM(U5-U10)</f>
        <v>18930097.875975057</v>
      </c>
      <c r="V16" s="13">
        <f>SUM(V5-V10)</f>
        <v>19524191.118487805</v>
      </c>
      <c r="W16" s="13">
        <f>SUM(W5-W10)</f>
        <v>20140450.256093487</v>
      </c>
      <c r="X16" s="13">
        <f>SUM(X5-X10)</f>
        <v>20779625.209579065</v>
      </c>
      <c r="Y16" s="13">
        <f>SUM(Y5-Y10)</f>
        <v>21442491.03061703</v>
      </c>
      <c r="Z16" s="13">
        <f>SUM(Z5-Z10)</f>
        <v>22129848.017323107</v>
      </c>
      <c r="AA16" s="13">
        <f>SUM(AA5-AA10)</f>
        <v>22870836.337411284</v>
      </c>
    </row>
    <row r="17" spans="1:27" ht="12.75">
      <c r="A17" s="11">
        <v>4</v>
      </c>
      <c r="B17" s="21" t="s">
        <v>23</v>
      </c>
      <c r="C17" s="16">
        <v>2208400</v>
      </c>
      <c r="D17" s="16">
        <v>4448000</v>
      </c>
      <c r="E17" s="16">
        <v>3064970</v>
      </c>
      <c r="F17" s="17">
        <f>F59</f>
        <v>5983046.68</v>
      </c>
      <c r="G17" s="17">
        <f>G59</f>
        <v>1950140</v>
      </c>
      <c r="H17" s="17">
        <f>H59</f>
        <v>750000</v>
      </c>
      <c r="I17" s="17">
        <f>I59</f>
        <v>8123584.522910006</v>
      </c>
      <c r="J17" s="17">
        <f>J59</f>
        <v>10604443.960700206</v>
      </c>
      <c r="K17" s="17">
        <f>K59</f>
        <v>11036355.338481918</v>
      </c>
      <c r="L17" s="17">
        <f>L59</f>
        <v>11408123.677424848</v>
      </c>
      <c r="M17" s="17">
        <f>M59</f>
        <v>11793003.574578516</v>
      </c>
      <c r="N17" s="17">
        <f>N59</f>
        <v>12191449.090438567</v>
      </c>
      <c r="O17" s="17">
        <f>O59</f>
        <v>12603929.789441697</v>
      </c>
      <c r="P17" s="17">
        <f>P59</f>
        <v>13030931.263429925</v>
      </c>
      <c r="Q17" s="17">
        <f>Q59</f>
        <v>13472955.672627255</v>
      </c>
      <c r="R17" s="17">
        <f>R59</f>
        <v>13930522.304710627</v>
      </c>
      <c r="S17" s="17">
        <f>S59</f>
        <v>14404168.152575552</v>
      </c>
      <c r="T17" s="17">
        <f>T59</f>
        <v>14894448.511416852</v>
      </c>
      <c r="U17" s="17">
        <f>U59</f>
        <v>15401937.59576556</v>
      </c>
      <c r="V17" s="17">
        <f>V59</f>
        <v>15927229.177143946</v>
      </c>
      <c r="W17" s="17">
        <f>W59</f>
        <v>16470937.243022352</v>
      </c>
      <c r="X17" s="17">
        <f>X59</f>
        <v>17033696.677784577</v>
      </c>
      <c r="Y17" s="17">
        <f>Y59</f>
        <v>17616163.96643129</v>
      </c>
      <c r="Z17" s="17">
        <f>Z59</f>
        <v>18219017.921775118</v>
      </c>
      <c r="AA17" s="17">
        <f>AA59</f>
        <v>18842960.435906142</v>
      </c>
    </row>
    <row r="18" spans="1:27" ht="12.75">
      <c r="A18" s="14" t="s">
        <v>6</v>
      </c>
      <c r="B18" s="18" t="s">
        <v>24</v>
      </c>
      <c r="C18" s="16">
        <v>0</v>
      </c>
      <c r="D18" s="16">
        <v>0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</row>
    <row r="19" spans="1:27" ht="12.75">
      <c r="A19" s="11">
        <v>5</v>
      </c>
      <c r="B19" s="21" t="s">
        <v>25</v>
      </c>
      <c r="C19" s="16">
        <v>0</v>
      </c>
      <c r="D19" s="16">
        <v>0</v>
      </c>
      <c r="E19" s="16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</row>
    <row r="20" spans="1:27" ht="12.75">
      <c r="A20" s="11">
        <v>6</v>
      </c>
      <c r="B20" s="21" t="s">
        <v>26</v>
      </c>
      <c r="C20" s="13">
        <f>SUM(C16+C17+C19)</f>
        <v>13448342</v>
      </c>
      <c r="D20" s="13">
        <f>SUM(D16+D17+D19)</f>
        <v>19496712</v>
      </c>
      <c r="E20" s="13">
        <f>SUM(E16+E17+E19)</f>
        <v>25903462.42</v>
      </c>
      <c r="F20" s="13">
        <f>SUM(F16+F17+F19)</f>
        <v>25751271.4</v>
      </c>
      <c r="G20" s="13">
        <f>SUM(G16+G17+G19)</f>
        <v>25707284</v>
      </c>
      <c r="H20" s="13">
        <f>SUM(H16+H17+H19)</f>
        <v>19439278.778840005</v>
      </c>
      <c r="I20" s="13">
        <f>SUM(I16+I17+I19)</f>
        <v>22273076.985470213</v>
      </c>
      <c r="J20" s="13">
        <f>SUM(J16+J17+J19)</f>
        <v>24978670.06697212</v>
      </c>
      <c r="K20" s="13">
        <f>SUM(K16+K17+K19)</f>
        <v>25650172.049626768</v>
      </c>
      <c r="L20" s="13">
        <f>SUM(L16+L17+L19)</f>
        <v>26276892.551653363</v>
      </c>
      <c r="M20" s="13">
        <f>SUM(M16+M17+M19)</f>
        <v>26932607.730597086</v>
      </c>
      <c r="N20" s="13">
        <f>SUM(N16+N17+N19)</f>
        <v>27618310.196390264</v>
      </c>
      <c r="O20" s="13">
        <f>SUM(O16+O17+O19)</f>
        <v>28395924.44266162</v>
      </c>
      <c r="P20" s="13">
        <f>SUM(P16+P17+P19)</f>
        <v>29298463.517749682</v>
      </c>
      <c r="Q20" s="13">
        <f>SUM(Q16+Q17+Q19)</f>
        <v>30234176.11760006</v>
      </c>
      <c r="R20" s="13">
        <f>SUM(R16+R17+R19)</f>
        <v>31204196.77378522</v>
      </c>
      <c r="S20" s="13">
        <f>SUM(S16+S17+S19)</f>
        <v>32209698.372925505</v>
      </c>
      <c r="T20" s="13">
        <f>SUM(T16+T17+T19)</f>
        <v>33251893.441232726</v>
      </c>
      <c r="U20" s="13">
        <f>SUM(U16+U17+U19)</f>
        <v>34332035.47174062</v>
      </c>
      <c r="V20" s="13">
        <f>SUM(V16+V17+V19)</f>
        <v>35451420.29563175</v>
      </c>
      <c r="W20" s="13">
        <f>SUM(W16+W17+W19)</f>
        <v>36611387.49911584</v>
      </c>
      <c r="X20" s="13">
        <f>SUM(X16+X17+X19)</f>
        <v>37813321.88736364</v>
      </c>
      <c r="Y20" s="13">
        <f>SUM(Y16+Y17+Y19)</f>
        <v>39058654.99704832</v>
      </c>
      <c r="Z20" s="13">
        <f>SUM(Z16+Z17+Z19)</f>
        <v>40348865.939098224</v>
      </c>
      <c r="AA20" s="13">
        <f>SUM(AA16+AA17+AA19)</f>
        <v>41713796.77331743</v>
      </c>
    </row>
    <row r="21" spans="1:27" ht="12.75">
      <c r="A21" s="11">
        <v>7</v>
      </c>
      <c r="B21" s="12" t="s">
        <v>27</v>
      </c>
      <c r="C21" s="13">
        <f>SUM(C22:C23)</f>
        <v>5006333</v>
      </c>
      <c r="D21" s="13">
        <f>SUM(D22:D23)</f>
        <v>7006783</v>
      </c>
      <c r="E21" s="13">
        <f>SUM(E22:E23)</f>
        <v>7727540.87</v>
      </c>
      <c r="F21" s="13">
        <f>SUM(F22:F23)</f>
        <v>8651861.24</v>
      </c>
      <c r="G21" s="13">
        <f>SUM(G22:G23)</f>
        <v>9681140.89</v>
      </c>
      <c r="H21" s="13">
        <f>SUM(H22:H23)</f>
        <v>8001163.510430001</v>
      </c>
      <c r="I21" s="13">
        <f>SUM(I22:I23)</f>
        <v>7649874.73636</v>
      </c>
      <c r="J21" s="13">
        <f>SUM(J22:J23)</f>
        <v>5040833.00229</v>
      </c>
      <c r="K21" s="13">
        <f>SUM(K22:K23)</f>
        <v>4833655.26822</v>
      </c>
      <c r="L21" s="13">
        <f>SUM(L22:L23)</f>
        <v>4626477.534150001</v>
      </c>
      <c r="M21" s="13">
        <f>SUM(M22:M23)</f>
        <v>4419299.80008</v>
      </c>
      <c r="N21" s="13">
        <f>SUM(N22:N23)</f>
        <v>4212130.52601</v>
      </c>
      <c r="O21" s="13">
        <f>SUM(O22:O23)</f>
        <v>3050896.32854</v>
      </c>
      <c r="P21" s="13">
        <f>SUM(P22:P23)</f>
        <v>1449985.2348700005</v>
      </c>
      <c r="Q21" s="13">
        <f>SUM(Q22:Q23)</f>
        <v>1396552.8712000004</v>
      </c>
      <c r="R21" s="13">
        <f>SUM(R22:R23)</f>
        <v>1343120.5075300005</v>
      </c>
      <c r="S21" s="13">
        <f>SUM(S22:S23)</f>
        <v>1289688.1438600004</v>
      </c>
      <c r="T21" s="13">
        <f>SUM(T22:T23)</f>
        <v>1236255.7801900003</v>
      </c>
      <c r="U21" s="13">
        <f>SUM(U22:U23)</f>
        <v>1182823.4165200004</v>
      </c>
      <c r="V21" s="13">
        <f>SUM(V22:V23)</f>
        <v>1129391.0528500003</v>
      </c>
      <c r="W21" s="13">
        <f>SUM(W22:W23)</f>
        <v>1075958.6891800005</v>
      </c>
      <c r="X21" s="13">
        <f>SUM(X22:X23)</f>
        <v>1022526.3255100005</v>
      </c>
      <c r="Y21" s="13">
        <f>SUM(Y22:Y23)</f>
        <v>969093.9618400005</v>
      </c>
      <c r="Z21" s="13">
        <f>SUM(Z22:Z23)</f>
        <v>915672.8781700004</v>
      </c>
      <c r="AA21" s="13">
        <f>SUM(AA22:AA23)</f>
        <v>418691.39450000005</v>
      </c>
    </row>
    <row r="22" spans="1:27" ht="12.75">
      <c r="A22" s="14" t="s">
        <v>6</v>
      </c>
      <c r="B22" s="18" t="s">
        <v>28</v>
      </c>
      <c r="C22" s="16">
        <v>4216859</v>
      </c>
      <c r="D22" s="16">
        <v>5932009</v>
      </c>
      <c r="E22" s="16">
        <v>6476116.28</v>
      </c>
      <c r="F22" s="17">
        <f>zał2!E24</f>
        <v>6701134</v>
      </c>
      <c r="G22" s="17">
        <f>zał2!F24</f>
        <v>7281140.890000001</v>
      </c>
      <c r="H22" s="17">
        <f>zał2!G24</f>
        <v>5854825.4345</v>
      </c>
      <c r="I22" s="17">
        <f>zał2!H24</f>
        <v>5854826.2345</v>
      </c>
      <c r="J22" s="17">
        <f>zał2!I24</f>
        <v>3452962.2345</v>
      </c>
      <c r="K22" s="17">
        <f>zał2!J24</f>
        <v>3452962.2345</v>
      </c>
      <c r="L22" s="17">
        <f>zał2!K24</f>
        <v>3452962.2345</v>
      </c>
      <c r="M22" s="17">
        <f>zał2!L24</f>
        <v>3452962.2345</v>
      </c>
      <c r="N22" s="17">
        <f>zał2!M24</f>
        <v>3452971.2345</v>
      </c>
      <c r="O22" s="17">
        <f>zał2!N24</f>
        <v>2438018.1245</v>
      </c>
      <c r="P22" s="17">
        <f>zał2!O24</f>
        <v>890539.3945</v>
      </c>
      <c r="Q22" s="17">
        <f>zał2!P24</f>
        <v>890539.3945</v>
      </c>
      <c r="R22" s="17">
        <f>zał2!Q24</f>
        <v>890539.3945</v>
      </c>
      <c r="S22" s="17">
        <f>zał2!R24</f>
        <v>890539.3945</v>
      </c>
      <c r="T22" s="17">
        <f>zał2!S24</f>
        <v>890539.3945</v>
      </c>
      <c r="U22" s="17">
        <f>zał2!T24</f>
        <v>890539.3945</v>
      </c>
      <c r="V22" s="17">
        <f>zał2!U24</f>
        <v>890539.3945</v>
      </c>
      <c r="W22" s="17">
        <f>zał2!V24</f>
        <v>890539.3945</v>
      </c>
      <c r="X22" s="17">
        <f>zał2!W24</f>
        <v>890539.3945</v>
      </c>
      <c r="Y22" s="17">
        <f>zał2!X24</f>
        <v>890539.3945</v>
      </c>
      <c r="Z22" s="17">
        <f>zał2!Y24</f>
        <v>890551.3945</v>
      </c>
      <c r="AA22" s="17">
        <f>zał2!Z24</f>
        <v>418691.39450000005</v>
      </c>
    </row>
    <row r="23" spans="1:27" ht="12.75">
      <c r="A23" s="14" t="s">
        <v>8</v>
      </c>
      <c r="B23" s="18" t="s">
        <v>29</v>
      </c>
      <c r="C23" s="17">
        <f>SUM(C53)</f>
        <v>789474</v>
      </c>
      <c r="D23" s="17">
        <f>SUM(D53)</f>
        <v>1074774</v>
      </c>
      <c r="E23" s="17">
        <f>SUM(E53)</f>
        <v>1251424.59</v>
      </c>
      <c r="F23" s="17">
        <f>SUM(F53)</f>
        <v>1950727.24</v>
      </c>
      <c r="G23" s="17">
        <f>SUM(G53)</f>
        <v>2400000</v>
      </c>
      <c r="H23" s="17">
        <f>SUM(H53)</f>
        <v>2146338.07593</v>
      </c>
      <c r="I23" s="17">
        <f>SUM(I53)</f>
        <v>1795048.5018600002</v>
      </c>
      <c r="J23" s="17">
        <f>SUM(J53)</f>
        <v>1587870.7677900002</v>
      </c>
      <c r="K23" s="17">
        <f>SUM(K53)</f>
        <v>1380693.0337200004</v>
      </c>
      <c r="L23" s="17">
        <f>SUM(L53)</f>
        <v>1173515.2996500004</v>
      </c>
      <c r="M23" s="17">
        <f>SUM(M53)</f>
        <v>966337.5655800004</v>
      </c>
      <c r="N23" s="17">
        <f>SUM(N53)</f>
        <v>759159.2915100005</v>
      </c>
      <c r="O23" s="17">
        <f>SUM(O53)</f>
        <v>612878.2040400004</v>
      </c>
      <c r="P23" s="17">
        <f>SUM(P53)</f>
        <v>559445.8403700005</v>
      </c>
      <c r="Q23" s="17">
        <f>SUM(Q53)</f>
        <v>506013.47670000046</v>
      </c>
      <c r="R23" s="17">
        <f>SUM(R53)</f>
        <v>452581.1130300004</v>
      </c>
      <c r="S23" s="17">
        <f>SUM(S53)</f>
        <v>399148.7493600004</v>
      </c>
      <c r="T23" s="17">
        <f>SUM(T53)</f>
        <v>345716.3856900004</v>
      </c>
      <c r="U23" s="17">
        <f>SUM(U53)</f>
        <v>292284.0220200004</v>
      </c>
      <c r="V23" s="17">
        <f>SUM(V53)</f>
        <v>238851.65835000036</v>
      </c>
      <c r="W23" s="17">
        <f>SUM(W53)</f>
        <v>185419.29468000037</v>
      </c>
      <c r="X23" s="17">
        <f>SUM(X53)</f>
        <v>131986.93101000038</v>
      </c>
      <c r="Y23" s="17">
        <f>SUM(Y53)</f>
        <v>78554.56734000039</v>
      </c>
      <c r="Z23" s="17">
        <f>SUM(Z53)</f>
        <v>25121.48367000038</v>
      </c>
      <c r="AA23" s="17">
        <f>SUM(AA53)</f>
        <v>0</v>
      </c>
    </row>
    <row r="24" spans="1:27" ht="12.75">
      <c r="A24" s="11">
        <v>8</v>
      </c>
      <c r="B24" s="21" t="s">
        <v>30</v>
      </c>
      <c r="C24" s="16">
        <v>0</v>
      </c>
      <c r="D24" s="16">
        <v>0</v>
      </c>
      <c r="E24" s="16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ht="12.75">
      <c r="A25" s="11">
        <v>9</v>
      </c>
      <c r="B25" s="21" t="s">
        <v>31</v>
      </c>
      <c r="C25" s="13">
        <f>SUM(C20-C21-C24)</f>
        <v>8442009</v>
      </c>
      <c r="D25" s="13">
        <f>SUM(D20-D21-D24)</f>
        <v>12489929</v>
      </c>
      <c r="E25" s="13">
        <f>SUM(E20-E21-E24)</f>
        <v>18175921.55</v>
      </c>
      <c r="F25" s="13">
        <f>SUM(F20-F21-F24)</f>
        <v>17099410.159999996</v>
      </c>
      <c r="G25" s="13">
        <f>SUM(G20-G21-G24)</f>
        <v>16026143.11</v>
      </c>
      <c r="H25" s="13">
        <f>SUM(H20-H21-H24)</f>
        <v>11438115.268410005</v>
      </c>
      <c r="I25" s="13">
        <f>SUM(I20-I21-I24)</f>
        <v>14623202.249110213</v>
      </c>
      <c r="J25" s="13">
        <f>SUM(J20-J21-J24)</f>
        <v>19937837.064682122</v>
      </c>
      <c r="K25" s="13">
        <f>SUM(K20-K21-K24)</f>
        <v>20816516.781406768</v>
      </c>
      <c r="L25" s="13">
        <f>SUM(L20-L21-L24)</f>
        <v>21650415.017503362</v>
      </c>
      <c r="M25" s="13">
        <f>SUM(M20-M21-M24)</f>
        <v>22513307.930517085</v>
      </c>
      <c r="N25" s="13">
        <f>SUM(N20-N21-N24)</f>
        <v>23406179.670380265</v>
      </c>
      <c r="O25" s="13">
        <f>SUM(O20-O21-O24)</f>
        <v>25345028.11412162</v>
      </c>
      <c r="P25" s="13">
        <f>SUM(P20-P21-P24)</f>
        <v>27848478.28287968</v>
      </c>
      <c r="Q25" s="13">
        <f>SUM(Q20-Q21-Q24)</f>
        <v>28837623.246400062</v>
      </c>
      <c r="R25" s="13">
        <f>SUM(R20-R21-R24)</f>
        <v>29861076.26625522</v>
      </c>
      <c r="S25" s="13">
        <f>SUM(S20-S21-S24)</f>
        <v>30920010.229065504</v>
      </c>
      <c r="T25" s="13">
        <f>SUM(T20-T21-T24)</f>
        <v>32015637.661042728</v>
      </c>
      <c r="U25" s="13">
        <f>SUM(U20-U21-U24)</f>
        <v>33149212.05522062</v>
      </c>
      <c r="V25" s="13">
        <f>SUM(V20-V21-V24)</f>
        <v>34322029.24278175</v>
      </c>
      <c r="W25" s="13">
        <f>SUM(W20-W21-W24)</f>
        <v>35535428.80993584</v>
      </c>
      <c r="X25" s="13">
        <f>SUM(X20-X21-X24)</f>
        <v>36790795.56185364</v>
      </c>
      <c r="Y25" s="13">
        <f>SUM(Y20-Y21-Y24)</f>
        <v>38089561.035208315</v>
      </c>
      <c r="Z25" s="13">
        <f>SUM(Z20-Z21-Z24)</f>
        <v>39433193.060928226</v>
      </c>
      <c r="AA25" s="13">
        <f>SUM(AA20-AA21-AA24)</f>
        <v>41295105.378817424</v>
      </c>
    </row>
    <row r="26" spans="1:27" ht="12.75">
      <c r="A26" s="11">
        <v>10</v>
      </c>
      <c r="B26" s="12" t="s">
        <v>32</v>
      </c>
      <c r="C26" s="16">
        <v>18745557</v>
      </c>
      <c r="D26" s="16">
        <v>19672209</v>
      </c>
      <c r="E26" s="17">
        <f>zał2!D11</f>
        <v>28233437.43</v>
      </c>
      <c r="F26" s="17">
        <f>zał2!E11</f>
        <v>25589380.16</v>
      </c>
      <c r="G26" s="17">
        <f>zał2!F11</f>
        <v>24399971</v>
      </c>
      <c r="H26" s="17">
        <f>zał2!G11</f>
        <v>9169356.18</v>
      </c>
      <c r="I26" s="17">
        <f>zał2!H11</f>
        <v>2500000</v>
      </c>
      <c r="J26" s="17">
        <f>zał2!I11</f>
        <v>2500000</v>
      </c>
      <c r="K26" s="17">
        <f>zał2!J11</f>
        <v>2575000</v>
      </c>
      <c r="L26" s="17">
        <f>zał2!K11</f>
        <v>2652250</v>
      </c>
      <c r="M26" s="17">
        <f>zał2!L11</f>
        <v>2731817.5</v>
      </c>
      <c r="N26" s="17">
        <f>zał2!M11</f>
        <v>2813772.025</v>
      </c>
      <c r="O26" s="17">
        <f>zał2!N11</f>
        <v>2898185.1857499997</v>
      </c>
      <c r="P26" s="17">
        <f>zał2!O11</f>
        <v>2985130.7413224997</v>
      </c>
      <c r="Q26" s="17">
        <f>zał2!P11</f>
        <v>3074684.663562175</v>
      </c>
      <c r="R26" s="17">
        <f>zał2!Q11</f>
        <v>3166925.2034690403</v>
      </c>
      <c r="S26" s="17">
        <f>zał2!R11</f>
        <v>3261932.9595731115</v>
      </c>
      <c r="T26" s="17">
        <f>zał2!S11</f>
        <v>3359790.948360305</v>
      </c>
      <c r="U26" s="17">
        <f>zał2!T11</f>
        <v>3460584.676811114</v>
      </c>
      <c r="V26" s="17">
        <f>zał2!U11</f>
        <v>3564402.2171154474</v>
      </c>
      <c r="W26" s="17">
        <f>zał2!V11</f>
        <v>3671334.283628911</v>
      </c>
      <c r="X26" s="17">
        <f>zał2!W11</f>
        <v>3781474.312137778</v>
      </c>
      <c r="Y26" s="17">
        <f>zał2!X11</f>
        <v>3894918.5415019114</v>
      </c>
      <c r="Z26" s="17">
        <f>zał2!Y11</f>
        <v>4011766.0977469687</v>
      </c>
      <c r="AA26" s="17">
        <f>zał2!Z11</f>
        <v>4132119.080679378</v>
      </c>
    </row>
    <row r="27" spans="1:27" ht="12.75">
      <c r="A27" s="14" t="s">
        <v>6</v>
      </c>
      <c r="B27" s="18" t="s">
        <v>33</v>
      </c>
      <c r="C27" s="16">
        <v>18745557</v>
      </c>
      <c r="D27" s="16">
        <v>19672209</v>
      </c>
      <c r="E27" s="17">
        <f>E26</f>
        <v>28233437.43</v>
      </c>
      <c r="F27" s="17">
        <f>F26</f>
        <v>25589380.16</v>
      </c>
      <c r="G27" s="17">
        <f>zał3!H10</f>
        <v>22704201</v>
      </c>
      <c r="H27" s="17">
        <f>zał3!I10</f>
        <v>8169356.18</v>
      </c>
      <c r="I27" s="17">
        <f>zał3!J10</f>
        <v>1500000</v>
      </c>
      <c r="J27" s="17">
        <f>zał3!K10</f>
        <v>1500000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</row>
    <row r="28" spans="1:27" ht="12.75">
      <c r="A28" s="11">
        <v>11</v>
      </c>
      <c r="B28" s="21" t="s">
        <v>34</v>
      </c>
      <c r="C28" s="16">
        <v>14411180</v>
      </c>
      <c r="D28" s="16">
        <v>10425160</v>
      </c>
      <c r="E28" s="16">
        <v>15861658</v>
      </c>
      <c r="F28" s="17">
        <f>zał2!E15</f>
        <v>9201048</v>
      </c>
      <c r="G28" s="17">
        <f>zał2!F15</f>
        <v>8373827.890000001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</row>
    <row r="29" spans="1:27" ht="12.75">
      <c r="A29" s="11" t="s">
        <v>35</v>
      </c>
      <c r="B29" s="18" t="s">
        <v>36</v>
      </c>
      <c r="C29" s="16"/>
      <c r="D29" s="16"/>
      <c r="E29" s="16"/>
      <c r="F29" s="17">
        <v>0</v>
      </c>
      <c r="G29" s="17">
        <f>zał2!F13</f>
        <v>3042827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2.75">
      <c r="A30" s="11">
        <v>12</v>
      </c>
      <c r="B30" s="21" t="s">
        <v>37</v>
      </c>
      <c r="C30" s="24">
        <f>SUM(C25-C26+C28)</f>
        <v>4107632</v>
      </c>
      <c r="D30" s="24">
        <f>SUM(D25-D26+D28)</f>
        <v>3242880</v>
      </c>
      <c r="E30" s="24">
        <f>SUM(E25-E26+E28)</f>
        <v>5804142.120000001</v>
      </c>
      <c r="F30" s="24">
        <f>SUM(F25-F26+F28)</f>
        <v>711077.9999999963</v>
      </c>
      <c r="G30" s="24">
        <f>SUM(G25-G26+G28)</f>
        <v>0</v>
      </c>
      <c r="H30" s="24">
        <f>SUM(H25-H26+H28)</f>
        <v>2268759.088410005</v>
      </c>
      <c r="I30" s="24">
        <f>SUM(I25-I26+I28)</f>
        <v>12123202.249110213</v>
      </c>
      <c r="J30" s="24">
        <f>SUM(J25-J26+J28)</f>
        <v>17437837.064682122</v>
      </c>
      <c r="K30" s="24">
        <f>SUM(K25-K26+K28)</f>
        <v>18241516.781406768</v>
      </c>
      <c r="L30" s="24">
        <f>SUM(L25-L26+L28)</f>
        <v>18998165.017503362</v>
      </c>
      <c r="M30" s="24">
        <f>SUM(M25-M26+M28)</f>
        <v>19781490.430517085</v>
      </c>
      <c r="N30" s="24">
        <f>SUM(N25-N26+N28)</f>
        <v>20592407.645380266</v>
      </c>
      <c r="O30" s="24">
        <f>SUM(O25-O26+O28)</f>
        <v>22446842.92837162</v>
      </c>
      <c r="P30" s="24">
        <f>SUM(P25-P26+P28)</f>
        <v>24863347.54155718</v>
      </c>
      <c r="Q30" s="24">
        <f>SUM(Q25-Q26+Q28)</f>
        <v>25762938.582837887</v>
      </c>
      <c r="R30" s="24">
        <f>SUM(R25-R26+R28)</f>
        <v>26694151.062786177</v>
      </c>
      <c r="S30" s="24">
        <f>SUM(S25-S26+S28)</f>
        <v>27658077.26949239</v>
      </c>
      <c r="T30" s="24">
        <f>SUM(T25-T26+T28)</f>
        <v>28655846.712682422</v>
      </c>
      <c r="U30" s="24">
        <f>SUM(U25-U26+U28)</f>
        <v>29688627.378409505</v>
      </c>
      <c r="V30" s="24">
        <f>SUM(V25-V26+V28)</f>
        <v>30757627.025666304</v>
      </c>
      <c r="W30" s="24">
        <f>SUM(W25-W26+W28)</f>
        <v>31864094.526306927</v>
      </c>
      <c r="X30" s="24">
        <f>SUM(X25-X26+X28)</f>
        <v>33009321.24971586</v>
      </c>
      <c r="Y30" s="24">
        <f>SUM(Y25-Y26+Y28)</f>
        <v>34194642.493706405</v>
      </c>
      <c r="Z30" s="24">
        <f>SUM(Z25-Z26+Z28)</f>
        <v>35421426.96318126</v>
      </c>
      <c r="AA30" s="24">
        <f>SUM(AA25-AA26+AA28)</f>
        <v>37162986.298138045</v>
      </c>
    </row>
    <row r="31" spans="1:27" ht="12.75">
      <c r="A31" s="11">
        <v>13</v>
      </c>
      <c r="B31" s="12" t="s">
        <v>38</v>
      </c>
      <c r="C31" s="20">
        <v>24155833</v>
      </c>
      <c r="D31" s="20">
        <v>26648984.02</v>
      </c>
      <c r="E31" s="17">
        <f>zał2!D46</f>
        <v>38034525.7</v>
      </c>
      <c r="F31" s="17">
        <f>zał2!E46</f>
        <v>40534439.7</v>
      </c>
      <c r="G31" s="17">
        <f>zał2!F46</f>
        <v>41627126.7</v>
      </c>
      <c r="H31" s="17">
        <f>zał2!G46</f>
        <v>35772301.2655</v>
      </c>
      <c r="I31" s="17">
        <f>zał2!H46</f>
        <v>29917475.031000003</v>
      </c>
      <c r="J31" s="17">
        <f>zał2!I46</f>
        <v>26464512.796500005</v>
      </c>
      <c r="K31" s="17">
        <f>zał2!J46</f>
        <v>23011550.562000006</v>
      </c>
      <c r="L31" s="17">
        <f>zał2!K46</f>
        <v>19558588.327500008</v>
      </c>
      <c r="M31" s="17">
        <f>zał2!L46</f>
        <v>16105626.093000008</v>
      </c>
      <c r="N31" s="17">
        <f>zał2!M46</f>
        <v>12652654.858500008</v>
      </c>
      <c r="O31" s="17">
        <f>zał2!N46</f>
        <v>10214636.734000009</v>
      </c>
      <c r="P31" s="17">
        <f>zał2!O46</f>
        <v>9324097.339500008</v>
      </c>
      <c r="Q31" s="17">
        <f>zał2!P46</f>
        <v>8433557.945000008</v>
      </c>
      <c r="R31" s="17">
        <f>zał2!Q46</f>
        <v>7543018.550500007</v>
      </c>
      <c r="S31" s="17">
        <f>zał2!R46</f>
        <v>6652479.156000007</v>
      </c>
      <c r="T31" s="17">
        <f>zał2!S46</f>
        <v>5761939.761500007</v>
      </c>
      <c r="U31" s="17">
        <f>zał2!T46</f>
        <v>4871400.367000006</v>
      </c>
      <c r="V31" s="17">
        <f>zał2!U46</f>
        <v>3980860.972500006</v>
      </c>
      <c r="W31" s="17">
        <f>zał2!V46</f>
        <v>3090321.5780000063</v>
      </c>
      <c r="X31" s="17">
        <f>zał2!W46</f>
        <v>2199782.1835000063</v>
      </c>
      <c r="Y31" s="17">
        <f>zał2!X46</f>
        <v>1309242.7890000064</v>
      </c>
      <c r="Z31" s="17">
        <f>zał2!Y46</f>
        <v>418691.39450000634</v>
      </c>
      <c r="AA31" s="17">
        <f>zał2!Z46</f>
        <v>0</v>
      </c>
    </row>
    <row r="32" spans="1:27" ht="12.75">
      <c r="A32" s="14" t="s">
        <v>6</v>
      </c>
      <c r="B32" s="18" t="s">
        <v>39</v>
      </c>
      <c r="C32" s="25">
        <v>4861053</v>
      </c>
      <c r="D32" s="25">
        <v>7964322</v>
      </c>
      <c r="E32" s="17">
        <f>zał2!D47</f>
        <v>9438082</v>
      </c>
      <c r="F32" s="17">
        <f>zał2!E47</f>
        <v>8929764.1</v>
      </c>
      <c r="G32" s="17">
        <f>zał2!F47</f>
        <v>10316494.2</v>
      </c>
      <c r="H32" s="17">
        <f>zał2!G47</f>
        <v>9101058.95</v>
      </c>
      <c r="I32" s="17">
        <f>zał2!H47</f>
        <v>7885623.699999999</v>
      </c>
      <c r="J32" s="17">
        <f>zał2!I47</f>
        <v>6893905.449999999</v>
      </c>
      <c r="K32" s="17">
        <f>zał2!J47</f>
        <v>5902187.199999999</v>
      </c>
      <c r="L32" s="17">
        <f>zał2!K47</f>
        <v>4910468.949999999</v>
      </c>
      <c r="M32" s="17">
        <f>zał2!L47</f>
        <v>3918750.6999999993</v>
      </c>
      <c r="N32" s="17">
        <f>zał2!M47</f>
        <v>2927029.4499999993</v>
      </c>
      <c r="O32" s="17">
        <f>zał2!N47</f>
        <v>2406726.1999999993</v>
      </c>
      <c r="P32" s="17">
        <f>zał2!O47</f>
        <v>2199903.849999999</v>
      </c>
      <c r="Q32" s="17">
        <f>zał2!P47</f>
        <v>1993081.499999999</v>
      </c>
      <c r="R32" s="17">
        <f>zał2!Q47</f>
        <v>1786259.149999999</v>
      </c>
      <c r="S32" s="17">
        <f>zał2!R47</f>
        <v>1579436.7999999989</v>
      </c>
      <c r="T32" s="17">
        <f>zał2!S47</f>
        <v>1372614.4499999988</v>
      </c>
      <c r="U32" s="17">
        <f>zał2!T47</f>
        <v>1165792.0999999987</v>
      </c>
      <c r="V32" s="17">
        <f>zał2!U47</f>
        <v>958969.7499999987</v>
      </c>
      <c r="W32" s="17">
        <f>zał2!V47</f>
        <v>752147.3999999987</v>
      </c>
      <c r="X32" s="17">
        <f>zał2!W47</f>
        <v>545325.0499999988</v>
      </c>
      <c r="Y32" s="17">
        <f>zał2!X47</f>
        <v>338502.6999999988</v>
      </c>
      <c r="Z32" s="17">
        <f>zał2!Y47</f>
        <v>131634.34999999878</v>
      </c>
      <c r="AA32" s="17">
        <f>zał2!Z47</f>
        <v>-1.2223608791828156E-09</v>
      </c>
    </row>
    <row r="33" spans="1:27" ht="12.75">
      <c r="A33" s="14" t="s">
        <v>8</v>
      </c>
      <c r="B33" s="18" t="s">
        <v>40</v>
      </c>
      <c r="C33" s="25">
        <v>1443268</v>
      </c>
      <c r="D33" s="25">
        <v>1189634</v>
      </c>
      <c r="E33" s="17">
        <f>zał2!D26</f>
        <v>1661049</v>
      </c>
      <c r="F33" s="17">
        <f>zał2!E26</f>
        <v>1974529.9</v>
      </c>
      <c r="G33" s="17">
        <f>zał2!F26</f>
        <v>1245956.9</v>
      </c>
      <c r="H33" s="17">
        <f>zał2!G26</f>
        <v>1215435.25</v>
      </c>
      <c r="I33" s="17">
        <f>zał2!H26</f>
        <v>1215435.25</v>
      </c>
      <c r="J33" s="17">
        <f>zał2!I26</f>
        <v>991718.25</v>
      </c>
      <c r="K33" s="17">
        <f>zał2!J26</f>
        <v>991718.25</v>
      </c>
      <c r="L33" s="17">
        <f>zał2!K26</f>
        <v>991718.25</v>
      </c>
      <c r="M33" s="17">
        <f>zał2!L26</f>
        <v>991718.25</v>
      </c>
      <c r="N33" s="17">
        <f>zał2!M26</f>
        <v>991721.25</v>
      </c>
      <c r="O33" s="17">
        <f>zał2!N26</f>
        <v>520303.25</v>
      </c>
      <c r="P33" s="17">
        <f>zał2!O26</f>
        <v>206822.35</v>
      </c>
      <c r="Q33" s="17">
        <f>zał2!P26</f>
        <v>206822.35</v>
      </c>
      <c r="R33" s="17">
        <f>zał2!Q26</f>
        <v>206822.35</v>
      </c>
      <c r="S33" s="17">
        <f>zał2!R26</f>
        <v>206822.35</v>
      </c>
      <c r="T33" s="17">
        <f>zał2!S26</f>
        <v>206822.35</v>
      </c>
      <c r="U33" s="17">
        <f>zał2!T26</f>
        <v>206822.35</v>
      </c>
      <c r="V33" s="17">
        <f>zał2!U26</f>
        <v>206822.35</v>
      </c>
      <c r="W33" s="17">
        <f>zał2!V26</f>
        <v>206822.35</v>
      </c>
      <c r="X33" s="17">
        <f>zał2!W26</f>
        <v>206822.35</v>
      </c>
      <c r="Y33" s="17">
        <f>zał2!X26</f>
        <v>206822.35</v>
      </c>
      <c r="Z33" s="17">
        <f>zał2!Y26</f>
        <v>206868.35</v>
      </c>
      <c r="AA33" s="17">
        <f>zał2!Z26</f>
        <v>131634.35</v>
      </c>
    </row>
    <row r="34" spans="1:27" ht="12.75">
      <c r="A34" s="11">
        <v>14</v>
      </c>
      <c r="B34" s="21" t="s">
        <v>41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</row>
    <row r="35" spans="1:27" ht="12.75">
      <c r="A35" s="11">
        <v>15</v>
      </c>
      <c r="B35" s="21" t="s">
        <v>42</v>
      </c>
      <c r="C35" s="26">
        <f>SUM(C21+C13)/C5</f>
        <v>0.0895572282649128</v>
      </c>
      <c r="D35" s="26">
        <f>SUM(D21+D13)/D5</f>
        <v>0.1081319059547739</v>
      </c>
      <c r="E35" s="26">
        <f>SUM(E21+E13)/E5</f>
        <v>0.10789926864659695</v>
      </c>
      <c r="F35" s="26">
        <f>SUM(F21+F13)/F5</f>
        <v>0.12383857687801497</v>
      </c>
      <c r="G35" s="26">
        <f>SUM(G21+G13)/G5</f>
        <v>0.12298283946099767</v>
      </c>
      <c r="H35" s="26">
        <f>SUM(H21+H13)/H5</f>
        <v>0.11840202158634507</v>
      </c>
      <c r="I35" s="26">
        <f>SUM(I21+I13)/I5</f>
        <v>0.11783769043388591</v>
      </c>
      <c r="J35" s="26">
        <f>SUM(J21+J13)/J5</f>
        <v>0.07531772033446726</v>
      </c>
      <c r="K35" s="26">
        <f>SUM(K21+K13)/K5</f>
        <v>0.07005440798494006</v>
      </c>
      <c r="L35" s="26">
        <f>SUM(L21+L13)/L5</f>
        <v>0.06503919637985697</v>
      </c>
      <c r="M35" s="26">
        <f>SUM(M21+M13)/M5</f>
        <v>0.060261934239519636</v>
      </c>
      <c r="N35" s="26">
        <f>SUM(N21+N13)/N5</f>
        <v>0.055712968022304396</v>
      </c>
      <c r="O35" s="26">
        <f>SUM(O21+O13)/O5</f>
        <v>0.039142339153427866</v>
      </c>
      <c r="P35" s="26">
        <f>SUM(P21+P13)/P5</f>
        <v>0.01804461973050563</v>
      </c>
      <c r="Q35" s="26">
        <f>SUM(Q21+Q13)/Q5</f>
        <v>0.016858011428940584</v>
      </c>
      <c r="R35" s="26">
        <f>SUM(R21+R13)/R5</f>
        <v>0.015726378650522427</v>
      </c>
      <c r="S35" s="26">
        <f>SUM(S21+S13)/S5</f>
        <v>0.014647490326175903</v>
      </c>
      <c r="T35" s="26">
        <f>SUM(T21+T13)/T5</f>
        <v>0.013619199784737959</v>
      </c>
      <c r="U35" s="26">
        <f>SUM(U21+U13)/U5</f>
        <v>0.012639441696780752</v>
      </c>
      <c r="V35" s="26">
        <f>SUM(V21+V13)/V5</f>
        <v>0.011706229125852398</v>
      </c>
      <c r="W35" s="26">
        <f>SUM(W21+W13)/W5</f>
        <v>0.010817650683440832</v>
      </c>
      <c r="X35" s="26">
        <f>SUM(X21+X13)/X5</f>
        <v>0.0099718677840912</v>
      </c>
      <c r="Y35" s="26">
        <f>SUM(Y21+Y13)/Y5</f>
        <v>0.009167111997228075</v>
      </c>
      <c r="Z35" s="26">
        <f>SUM(Z21+Z13)/Z5</f>
        <v>0.008401785992353854</v>
      </c>
      <c r="AA35" s="26">
        <f>SUM(AA21+AA13)/AA5</f>
        <v>0.0037264036150837917</v>
      </c>
    </row>
    <row r="36" spans="1:27" ht="12.75">
      <c r="A36" s="11" t="s">
        <v>6</v>
      </c>
      <c r="B36" s="21" t="s">
        <v>43</v>
      </c>
      <c r="C36" s="27" t="s">
        <v>44</v>
      </c>
      <c r="D36" s="27" t="s">
        <v>44</v>
      </c>
      <c r="E36" s="27" t="s">
        <v>44</v>
      </c>
      <c r="F36" s="26">
        <f>((E6+E8-E10-E23)/E5+(D6+D8-D10-D23)/D5+(C6+C8-C10-C23)/C5)/3</f>
        <v>0.0845167385672977</v>
      </c>
      <c r="G36" s="26">
        <f>((F6+F8-F10-F23)/F5+(E6+E8-E10-E23)/E5+(D6+D8-D10-D23)/D5)/3</f>
        <v>0.09486854270000923</v>
      </c>
      <c r="H36" s="26">
        <f>((G6+G8-G10-G23)/G5+(F6+F8-F10-F23)/F5+(E6+E8-E10-E23)/E5)/3</f>
        <v>0.08466307355192106</v>
      </c>
      <c r="I36" s="26">
        <f>((H6+H8-H10-H23)/H5+(G6+G8-G10-G23)/G5+(F6+F8-F10-F23)/F5)/3</f>
        <v>0.12576084554939218</v>
      </c>
      <c r="J36" s="26">
        <f>((I6+I8-I10-I23)/I5+(H6+H8-H10-H23)/H5+(G6+G8-G10-G23)/G5)/3</f>
        <v>0.1382463841709891</v>
      </c>
      <c r="K36" s="26">
        <f>((J6+J8-J10-J23)/J5+(I6+I8-I10-I23)/I5+(H6+H8-H10-H23)/H5)/3</f>
        <v>0.17618682619366968</v>
      </c>
      <c r="L36" s="26">
        <f>((K6+K8-K10-K23)/K5+(J6+J8-J10-J23)/J5+(I6+I8-I10-I23)/I5)/3</f>
        <v>0.1581027652661199</v>
      </c>
      <c r="M36" s="26">
        <f>((L6+L8-L10-L23)/L5+(K6+K8-K10-K23)/K5+(J6+J8-J10-J23)/J5)/3</f>
        <v>0.15887363770918295</v>
      </c>
      <c r="N36" s="26">
        <f>((M6+M8-M10-M23)/M5+(L6+L8-L10-L23)/L5+(K6+K8-K10-K23)/K5)/3</f>
        <v>0.1596438461311209</v>
      </c>
      <c r="O36" s="26">
        <f>((N6+N8-N10-N23)/N5+(M6+M8-M10-M23)/M5+(L6+L8-L10-L23)/L5)/3</f>
        <v>0.16041339102735794</v>
      </c>
      <c r="P36" s="26">
        <f>((O6+O8-O10-O23)/O5+(N6+N8-N10-N23)/N5+(M6+M8-M10-M23)/M5)/3</f>
        <v>0.16118227289308962</v>
      </c>
      <c r="Q36" s="26">
        <f>((P6+P8-P10-P23)/P5+(O6+O8-O10-O23)/O5+(N6+N8-N10-N23)/N5)/3</f>
        <v>0.16195049222328206</v>
      </c>
      <c r="R36" s="26">
        <f>((Q6+Q8-Q10-Q23)/Q5+(P6+P8-P10-P23)/P5+(O6+O8-O10-O23)/O5)/3</f>
        <v>0.16271804951267232</v>
      </c>
      <c r="S36" s="26">
        <f>((R6+R8-R10-R23)/R5+(Q6+Q8-Q10-Q23)/Q5+(P6+P8-P10-P23)/P5)/3</f>
        <v>0.16348494525576793</v>
      </c>
      <c r="T36" s="26">
        <f>((S6+S8-S10-S23)/S5+(R6+R8-R10-R23)/R5+(Q6+Q8-Q10-Q23)/Q5)/3</f>
        <v>0.1642511799468467</v>
      </c>
      <c r="U36" s="26">
        <f>((T6+T8-T10-T23)/T5+(S6+S8-S10-S23)/S5+(R6+R8-R10-R23)/R5)/3</f>
        <v>0.16501675407995686</v>
      </c>
      <c r="V36" s="26">
        <f>((U6+U8-U10-U23)/U5+(T6+T8-T10-T23)/T5+(S6+S8-S10-S23)/S5)/3</f>
        <v>0.1657816681489164</v>
      </c>
      <c r="W36" s="26">
        <f>((V6+V8-V10-V23)/V5+(U6+U8-U10-U23)/U5+(T6+T8-T10-T23)/T5)/3</f>
        <v>0.16654592264731358</v>
      </c>
      <c r="X36" s="26">
        <f>((W6+W8-W10-W23)/W5+(V6+V8-V10-V23)/V5+(U6+U8-U10-U23)/U5)/3</f>
        <v>0.16730951806850594</v>
      </c>
      <c r="Y36" s="26">
        <f>((X6+X8-X10-X23)/X5+(W6+W8-W10-W23)/W5+(V6+V8-V10-V23)/V5)/3</f>
        <v>0.16807245490562098</v>
      </c>
      <c r="Z36" s="26">
        <f>((Y6+Y8-Y10-Y23)/Y5+(X6+X8-X10-X23)/X5+(W6+W8-W10-W23)/W5)/3</f>
        <v>0.1688347336515552</v>
      </c>
      <c r="AA36" s="26">
        <f>((Z6+Z8-Z10-Z23)/Z5+(Y6+Y8-Y10-Y23)/Y5+(X6+X8-X10-X23)/X5)/3</f>
        <v>0.16959635479897464</v>
      </c>
    </row>
    <row r="37" spans="1:27" ht="12.75">
      <c r="A37" s="11">
        <v>16</v>
      </c>
      <c r="B37" s="21" t="s">
        <v>45</v>
      </c>
      <c r="C37" s="28" t="s">
        <v>44</v>
      </c>
      <c r="D37" s="28" t="s">
        <v>44</v>
      </c>
      <c r="E37" s="28" t="s">
        <v>44</v>
      </c>
      <c r="F37" s="29" t="str">
        <f>IF(F38&lt;=F36,"TAK","NIE")</f>
        <v>NIE</v>
      </c>
      <c r="G37" s="29" t="str">
        <f>IF(G38&lt;=G36,"TAK","NIE")</f>
        <v>NIE</v>
      </c>
      <c r="H37" s="29" t="str">
        <f>IF(H38&lt;=H36,"TAK","NIE")</f>
        <v>NIE</v>
      </c>
      <c r="I37" s="29" t="str">
        <f>IF(I38&lt;=I36,"TAK","NIE")</f>
        <v>TAK</v>
      </c>
      <c r="J37" s="29" t="str">
        <f>IF(J38&lt;=J36,"TAK","NIE")</f>
        <v>TAK</v>
      </c>
      <c r="K37" s="29" t="str">
        <f>IF(K38&lt;=K36,"TAK","NIE")</f>
        <v>TAK</v>
      </c>
      <c r="L37" s="29" t="str">
        <f>IF(L38&lt;=L36,"TAK","NIE")</f>
        <v>TAK</v>
      </c>
      <c r="M37" s="29" t="str">
        <f>IF(M38&lt;=M36,"TAK","NIE")</f>
        <v>TAK</v>
      </c>
      <c r="N37" s="29" t="str">
        <f>IF(N38&lt;=N36,"TAK","NIE")</f>
        <v>TAK</v>
      </c>
      <c r="O37" s="29" t="str">
        <f>IF(O38&lt;=O36,"TAK","NIE")</f>
        <v>TAK</v>
      </c>
      <c r="P37" s="29" t="str">
        <f>IF(P38&lt;=P36,"TAK","NIE")</f>
        <v>TAK</v>
      </c>
      <c r="Q37" s="29" t="str">
        <f>IF(Q38&lt;=Q36,"TAK","NIE")</f>
        <v>TAK</v>
      </c>
      <c r="R37" s="29" t="str">
        <f>IF(R38&lt;=R36,"TAK","NIE")</f>
        <v>TAK</v>
      </c>
      <c r="S37" s="29" t="str">
        <f>IF(S38&lt;=S36,"TAK","NIE")</f>
        <v>TAK</v>
      </c>
      <c r="T37" s="29" t="str">
        <f>IF(T38&lt;=T36,"TAK","NIE")</f>
        <v>TAK</v>
      </c>
      <c r="U37" s="29" t="str">
        <f>IF(U38&lt;=U36,"TAK","NIE")</f>
        <v>TAK</v>
      </c>
      <c r="V37" s="29" t="str">
        <f>IF(V38&lt;=V36,"TAK","NIE")</f>
        <v>TAK</v>
      </c>
      <c r="W37" s="29" t="str">
        <f>IF(W38&lt;=W36,"TAK","NIE")</f>
        <v>TAK</v>
      </c>
      <c r="X37" s="29" t="str">
        <f>IF(X38&lt;=X36,"TAK","NIE")</f>
        <v>TAK</v>
      </c>
      <c r="Y37" s="29" t="str">
        <f>IF(Y38&lt;=Y36,"TAK","NIE")</f>
        <v>TAK</v>
      </c>
      <c r="Z37" s="29" t="str">
        <f>IF(Z38&lt;=Z36,"TAK","NIE")</f>
        <v>TAK</v>
      </c>
      <c r="AA37" s="29" t="str">
        <f>IF(AA38&lt;=AA36,"TAK","NIE")</f>
        <v>TAK</v>
      </c>
    </row>
    <row r="38" spans="1:27" ht="12.75">
      <c r="A38" s="11">
        <v>17</v>
      </c>
      <c r="B38" s="30" t="s">
        <v>46</v>
      </c>
      <c r="C38" s="31">
        <f>SUM(C21-C33+C13)/C5</f>
        <v>0.06405910593329357</v>
      </c>
      <c r="D38" s="31">
        <f>SUM(D21-D33+D13)/D5</f>
        <v>0.09000786764321199</v>
      </c>
      <c r="E38" s="31">
        <f>SUM(E21-E33+E13)/E5</f>
        <v>0.086062524227661</v>
      </c>
      <c r="F38" s="31">
        <f>SUM(F21-F52-F33+F13)/F5</f>
        <v>0.09254092257301441</v>
      </c>
      <c r="G38" s="31">
        <f>SUM(G21-G52-G33+G13)/G5</f>
        <v>0.10497156146127473</v>
      </c>
      <c r="H38" s="31">
        <f>SUM(H21-H52-H33+H13)/H5</f>
        <v>0.1004158886295933</v>
      </c>
      <c r="I38" s="31">
        <f>SUM(I21-I52-I33+I13)/I5</f>
        <v>0.0991152815490468</v>
      </c>
      <c r="J38" s="31">
        <f>SUM(J21-J52-J33+J13)/J5</f>
        <v>0.0604999396680269</v>
      </c>
      <c r="K38" s="31">
        <f>SUM(K21-K52-K33+K13)/K5</f>
        <v>0.055681385699220716</v>
      </c>
      <c r="L38" s="31">
        <f>SUM(L21-L52-L33+L13)/L5</f>
        <v>0.051097583664971406</v>
      </c>
      <c r="M38" s="31">
        <f>SUM(M21-M52-M33+M13)/M5</f>
        <v>0.04673878291030915</v>
      </c>
      <c r="N38" s="31">
        <f>SUM(N21-N52-N33+N13)/N5</f>
        <v>0.0425956788150709</v>
      </c>
      <c r="O38" s="31">
        <f>SUM(O21-O52-O33+O13)/O5</f>
        <v>0.03246696113955847</v>
      </c>
      <c r="P38" s="31">
        <f>SUM(P21-P52-P33+P13)/P5</f>
        <v>0.015470779274913584</v>
      </c>
      <c r="Q38" s="31">
        <f>SUM(Q21-Q52-Q33+Q13)/Q5</f>
        <v>0.014361426006389092</v>
      </c>
      <c r="R38" s="31">
        <f>SUM(R21-R52-R33+R13)/R5</f>
        <v>0.01330472953470902</v>
      </c>
      <c r="S38" s="31">
        <f>SUM(S21-S52-S33+S13)/S5</f>
        <v>0.012298528381162611</v>
      </c>
      <c r="T38" s="31">
        <f>SUM(T21-T52-T33+T13)/T5</f>
        <v>0.011340743376496865</v>
      </c>
      <c r="U38" s="31">
        <f>SUM(U21-U52-U33+U13)/U5</f>
        <v>0.010429374667411978</v>
      </c>
      <c r="V38" s="31">
        <f>SUM(V21-V52-V33+V13)/V5</f>
        <v>0.009562498828593882</v>
      </c>
      <c r="W38" s="31">
        <f>SUM(W21-W52-W33+W13)/W5</f>
        <v>0.00873826607664572</v>
      </c>
      <c r="X38" s="31">
        <f>SUM(X21-X52-X33+X13)/X5</f>
        <v>0.007954897582403357</v>
      </c>
      <c r="Y38" s="31">
        <f>SUM(Y21-Y52-Y33+Y13)/Y5</f>
        <v>0.007210682878239371</v>
      </c>
      <c r="Z38" s="31">
        <f>SUM(Z21-Z52-Z33+Z13)/Z5</f>
        <v>0.006503658782596449</v>
      </c>
      <c r="AA38" s="31">
        <f>SUM(AA21-AA52-AA33+AA13)/AA5</f>
        <v>0.002554842116202293</v>
      </c>
    </row>
    <row r="39" spans="1:27" ht="12.75">
      <c r="A39" s="11">
        <v>18</v>
      </c>
      <c r="B39" s="32" t="s">
        <v>47</v>
      </c>
      <c r="C39" s="26">
        <f>SUM(C31-C32)/C5</f>
        <v>0.3408796292869238</v>
      </c>
      <c r="D39" s="26">
        <f>SUM(D31-D32)/D5</f>
        <v>0.2846602655010411</v>
      </c>
      <c r="E39" s="26">
        <f>SUM(E31-E32)/E5</f>
        <v>0.37593907968241225</v>
      </c>
      <c r="F39" s="26">
        <f>SUM(F31-F32)/F5</f>
        <v>0.4348820436919674</v>
      </c>
      <c r="G39" s="26">
        <f>SUM(G31-G32)/G5</f>
        <v>0.39001474131397673</v>
      </c>
      <c r="H39" s="26">
        <f>SUM(H31-H32)/H5</f>
        <v>0.39468372371817173</v>
      </c>
      <c r="I39" s="26">
        <f>SUM(I31-I32)/I5</f>
        <v>0.33937581546114354</v>
      </c>
      <c r="J39" s="26">
        <f>SUM(J31-J32)/J5</f>
        <v>0.292414672382467</v>
      </c>
      <c r="K39" s="26">
        <f>SUM(K31-K32)/K5</f>
        <v>0.24796686044296976</v>
      </c>
      <c r="L39" s="26">
        <f>SUM(L31-L32)/L5</f>
        <v>0.20592381693340406</v>
      </c>
      <c r="M39" s="26">
        <f>SUM(M31-M32)/M5</f>
        <v>0.16618123158444512</v>
      </c>
      <c r="N39" s="26">
        <f>SUM(N31-N32)/N5</f>
        <v>0.128638809750737</v>
      </c>
      <c r="O39" s="26">
        <f>SUM(O31-O32)/O5</f>
        <v>0.10017380116868939</v>
      </c>
      <c r="P39" s="26">
        <f>SUM(P31-P32)/P5</f>
        <v>0.08865839410847322</v>
      </c>
      <c r="Q39" s="26">
        <f>SUM(Q31-Q32)/Q5</f>
        <v>0.07774401367585884</v>
      </c>
      <c r="R39" s="26">
        <f>SUM(R31-R32)/R5</f>
        <v>0.06740495556776795</v>
      </c>
      <c r="S39" s="26">
        <f>SUM(S31-S32)/S5</f>
        <v>0.05761651697548444</v>
      </c>
      <c r="T39" s="26">
        <f>SUM(T31-T32)/T5</f>
        <v>0.04835495962521471</v>
      </c>
      <c r="U39" s="26">
        <f>SUM(U31-U32)/U5</f>
        <v>0.03959747413494277</v>
      </c>
      <c r="V39" s="26">
        <f>SUM(V31-V32)/V5</f>
        <v>0.0313221456418653</v>
      </c>
      <c r="W39" s="26">
        <f>SUM(W31-W32)/W5</f>
        <v>0.02350792065624933</v>
      </c>
      <c r="X39" s="26">
        <f>SUM(X31-X32)/X5</f>
        <v>0.01613457509906159</v>
      </c>
      <c r="Y39" s="26">
        <f>SUM(Y31-Y32)/Y5</f>
        <v>0.009182683482173468</v>
      </c>
      <c r="Z39" s="26">
        <f>SUM(Z31-Z32)/Z5</f>
        <v>0.0026339011594475725</v>
      </c>
      <c r="AA39" s="26">
        <f>SUM(AA31-AA32)/AA5</f>
        <v>1.087915839436687E-17</v>
      </c>
    </row>
    <row r="40" spans="1:27" ht="12.75">
      <c r="A40" s="11">
        <v>19</v>
      </c>
      <c r="B40" s="12" t="s">
        <v>48</v>
      </c>
      <c r="C40" s="33">
        <f>SUM(C10,C23)</f>
        <v>46152445</v>
      </c>
      <c r="D40" s="33">
        <f>SUM(D10,D23)</f>
        <v>51664524</v>
      </c>
      <c r="E40" s="33">
        <f>SUM(E10,E23)</f>
        <v>54479628.2</v>
      </c>
      <c r="F40" s="33">
        <f>SUM(F10,F23)</f>
        <v>54856635.79</v>
      </c>
      <c r="G40" s="33">
        <f>SUM(G10,G23)</f>
        <v>58923494.61</v>
      </c>
      <c r="H40" s="33">
        <f>SUM(H10,H23)</f>
        <v>51033300</v>
      </c>
      <c r="I40" s="33">
        <f>SUM(I10,I23)</f>
        <v>52564299</v>
      </c>
      <c r="J40" s="33">
        <f>SUM(J10,J23)</f>
        <v>54141227.97</v>
      </c>
      <c r="K40" s="33">
        <f>SUM(K10,K23)</f>
        <v>55765464.8091</v>
      </c>
      <c r="L40" s="33">
        <f>SUM(L10,L23)</f>
        <v>57438428.753373004</v>
      </c>
      <c r="M40" s="33">
        <f>SUM(M10,M23)</f>
        <v>59161581.615974195</v>
      </c>
      <c r="N40" s="33">
        <f>SUM(N10,N23)</f>
        <v>60936429.06445342</v>
      </c>
      <c r="O40" s="33">
        <f>SUM(O10,O23)</f>
        <v>62764521.936387025</v>
      </c>
      <c r="P40" s="33">
        <f>SUM(P10,P23)</f>
        <v>64647457.59447864</v>
      </c>
      <c r="Q40" s="33">
        <f>SUM(Q10,Q23)</f>
        <v>66586881.322312996</v>
      </c>
      <c r="R40" s="33">
        <f>SUM(R10,R23)</f>
        <v>68584487.76198238</v>
      </c>
      <c r="S40" s="33">
        <f>SUM(S10,S23)</f>
        <v>70642022.39484185</v>
      </c>
      <c r="T40" s="33">
        <f>SUM(T10,T23)</f>
        <v>72761283.0666871</v>
      </c>
      <c r="U40" s="33">
        <f>SUM(U10,U23)</f>
        <v>74944121.55868772</v>
      </c>
      <c r="V40" s="33">
        <f>SUM(V10,V23)</f>
        <v>77192445.20544834</v>
      </c>
      <c r="W40" s="33">
        <f>SUM(W10,W23)</f>
        <v>79508218.5616118</v>
      </c>
      <c r="X40" s="33">
        <f>SUM(X10,X23)</f>
        <v>81893465.11846015</v>
      </c>
      <c r="Y40" s="33">
        <f>SUM(Y10,Y23)</f>
        <v>84350269.07201396</v>
      </c>
      <c r="Z40" s="33">
        <f>SUM(Z10,Z23)</f>
        <v>86880777.14417438</v>
      </c>
      <c r="AA40" s="33">
        <f>SUM(AA10,AA23)</f>
        <v>89487200.45849961</v>
      </c>
    </row>
    <row r="41" spans="1:27" ht="12.75">
      <c r="A41" s="11">
        <v>20</v>
      </c>
      <c r="B41" s="34" t="s">
        <v>49</v>
      </c>
      <c r="C41" s="33">
        <f>SUM(C26,C40)</f>
        <v>64898002</v>
      </c>
      <c r="D41" s="33">
        <f>SUM(D26,D40)</f>
        <v>71336733</v>
      </c>
      <c r="E41" s="33">
        <f>SUM(E26,E40)</f>
        <v>82713065.63</v>
      </c>
      <c r="F41" s="33">
        <f>SUM(F26,F40)</f>
        <v>80446015.95</v>
      </c>
      <c r="G41" s="33">
        <f>SUM(G26,G40)</f>
        <v>83323465.61</v>
      </c>
      <c r="H41" s="33">
        <f>SUM(H26,H40)</f>
        <v>60202656.18</v>
      </c>
      <c r="I41" s="33">
        <f>SUM(I26,I40)</f>
        <v>55064299</v>
      </c>
      <c r="J41" s="33">
        <f>SUM(J26,J40)</f>
        <v>56641227.97</v>
      </c>
      <c r="K41" s="33">
        <f>SUM(K26,K40)</f>
        <v>58340464.8091</v>
      </c>
      <c r="L41" s="33">
        <f>SUM(L26,L40)</f>
        <v>60090678.753373004</v>
      </c>
      <c r="M41" s="33">
        <f>SUM(M26,M40)</f>
        <v>61893399.115974195</v>
      </c>
      <c r="N41" s="33">
        <f>SUM(N26,N40)</f>
        <v>63750201.08945342</v>
      </c>
      <c r="O41" s="33">
        <f>SUM(O26,O40)</f>
        <v>65662707.122137025</v>
      </c>
      <c r="P41" s="33">
        <f>SUM(P26,P40)</f>
        <v>67632588.33580114</v>
      </c>
      <c r="Q41" s="33">
        <f>SUM(Q26,Q40)</f>
        <v>69661565.98587517</v>
      </c>
      <c r="R41" s="33">
        <f>SUM(R26,R40)</f>
        <v>71751412.96545142</v>
      </c>
      <c r="S41" s="33">
        <f>SUM(S26,S40)</f>
        <v>73903955.35441495</v>
      </c>
      <c r="T41" s="33">
        <f>SUM(T26,T40)</f>
        <v>76121074.01504742</v>
      </c>
      <c r="U41" s="33">
        <f>SUM(U26,U40)</f>
        <v>78404706.23549883</v>
      </c>
      <c r="V41" s="33">
        <f>SUM(V26,V40)</f>
        <v>80756847.42256379</v>
      </c>
      <c r="W41" s="33">
        <f>SUM(W26,W40)</f>
        <v>83179552.84524071</v>
      </c>
      <c r="X41" s="33">
        <f>SUM(X26,X40)</f>
        <v>85674939.43059793</v>
      </c>
      <c r="Y41" s="33">
        <f>SUM(Y26,Y40)</f>
        <v>88245187.61351587</v>
      </c>
      <c r="Z41" s="33">
        <f>SUM(Z26,Z40)</f>
        <v>90892543.24192135</v>
      </c>
      <c r="AA41" s="33">
        <f>SUM(AA26,AA40)</f>
        <v>93619319.53917898</v>
      </c>
    </row>
    <row r="42" spans="1:27" ht="12.75">
      <c r="A42" s="35">
        <v>21</v>
      </c>
      <c r="B42" s="36" t="s">
        <v>50</v>
      </c>
      <c r="C42" s="33">
        <f>SUM(C5-C41)</f>
        <v>-8295089</v>
      </c>
      <c r="D42" s="33">
        <f>SUM(D5-D41)</f>
        <v>-5698271</v>
      </c>
      <c r="E42" s="33">
        <f>SUM(E5-E41)</f>
        <v>-6646369.599999994</v>
      </c>
      <c r="F42" s="33">
        <f>SUM(F5-F41)</f>
        <v>-7771882.680000007</v>
      </c>
      <c r="G42" s="33">
        <f>SUM(G5-G41)</f>
        <v>-3042827</v>
      </c>
      <c r="H42" s="33">
        <f>SUM(H5-H41)</f>
        <v>7373584.522910006</v>
      </c>
      <c r="I42" s="33">
        <f>SUM(I5-I41)</f>
        <v>9854443.960700206</v>
      </c>
      <c r="J42" s="33">
        <f>SUM(J5-J41)</f>
        <v>10286355.338481918</v>
      </c>
      <c r="K42" s="33">
        <f>SUM(K5-K41)</f>
        <v>10658123.677424848</v>
      </c>
      <c r="L42" s="33">
        <f>SUM(L5-L41)</f>
        <v>11043003.574578516</v>
      </c>
      <c r="M42" s="33">
        <f>SUM(M5-M41)</f>
        <v>11441449.090438567</v>
      </c>
      <c r="N42" s="33">
        <f>SUM(N5-N41)</f>
        <v>11853929.789441697</v>
      </c>
      <c r="O42" s="33">
        <f>SUM(O5-O41)</f>
        <v>12280931.263429925</v>
      </c>
      <c r="P42" s="33">
        <f>SUM(P5-P41)</f>
        <v>12722955.672627255</v>
      </c>
      <c r="Q42" s="33">
        <f>SUM(Q5-Q41)</f>
        <v>13180522.304710627</v>
      </c>
      <c r="R42" s="33">
        <f>SUM(R5-R41)</f>
        <v>13654168.152575552</v>
      </c>
      <c r="S42" s="33">
        <f>SUM(S5-S41)</f>
        <v>14144448.511416852</v>
      </c>
      <c r="T42" s="33">
        <f>SUM(T5-T41)</f>
        <v>14651937.59576556</v>
      </c>
      <c r="U42" s="33">
        <f>SUM(U5-U41)</f>
        <v>15177229.177143946</v>
      </c>
      <c r="V42" s="33">
        <f>SUM(V5-V41)</f>
        <v>15720937.243022352</v>
      </c>
      <c r="W42" s="33">
        <f>SUM(W5-W41)</f>
        <v>16283696.677784577</v>
      </c>
      <c r="X42" s="33">
        <f>SUM(X5-X41)</f>
        <v>16866163.96643129</v>
      </c>
      <c r="Y42" s="33">
        <f>SUM(Y5-Y41)</f>
        <v>17469017.921775118</v>
      </c>
      <c r="Z42" s="33">
        <f>SUM(Z5-Z41)</f>
        <v>18092960.435906142</v>
      </c>
      <c r="AA42" s="33">
        <f>SUM(AA5-AA41)</f>
        <v>18738717.256731912</v>
      </c>
    </row>
    <row r="43" spans="1:27" ht="12.75">
      <c r="A43" s="35">
        <v>22</v>
      </c>
      <c r="B43" s="36" t="s">
        <v>51</v>
      </c>
      <c r="C43" s="33">
        <f>SUM(C28,C17)</f>
        <v>16619580</v>
      </c>
      <c r="D43" s="33">
        <f>SUM(D28,D17)</f>
        <v>14873160</v>
      </c>
      <c r="E43" s="33">
        <f>SUM(E28,E17)</f>
        <v>18926628</v>
      </c>
      <c r="F43" s="33">
        <f>SUM(F28,F17)</f>
        <v>15184094.68</v>
      </c>
      <c r="G43" s="33">
        <f>SUM(G28,G17)</f>
        <v>10323967.89</v>
      </c>
      <c r="H43" s="33">
        <f>SUM(H28,H17)</f>
        <v>750000</v>
      </c>
      <c r="I43" s="33">
        <f>SUM(I28,I17)</f>
        <v>8123584.522910006</v>
      </c>
      <c r="J43" s="33">
        <f>SUM(J28,J17)</f>
        <v>10604443.960700206</v>
      </c>
      <c r="K43" s="33">
        <f>SUM(K28,K17)</f>
        <v>11036355.338481918</v>
      </c>
      <c r="L43" s="33">
        <f>SUM(L28,L17)</f>
        <v>11408123.677424848</v>
      </c>
      <c r="M43" s="33">
        <f>SUM(M28,M17)</f>
        <v>11793003.574578516</v>
      </c>
      <c r="N43" s="33">
        <f>SUM(N28,N17)</f>
        <v>12191449.090438567</v>
      </c>
      <c r="O43" s="33">
        <f>SUM(O28,O17)</f>
        <v>12603929.789441697</v>
      </c>
      <c r="P43" s="33">
        <f>SUM(P28,P17)</f>
        <v>13030931.263429925</v>
      </c>
      <c r="Q43" s="33">
        <f>SUM(Q28,Q17)</f>
        <v>13472955.672627255</v>
      </c>
      <c r="R43" s="33">
        <f>SUM(R28,R17)</f>
        <v>13930522.304710627</v>
      </c>
      <c r="S43" s="33">
        <f>SUM(S28,S17)</f>
        <v>14404168.152575552</v>
      </c>
      <c r="T43" s="33">
        <f>SUM(T28,T17)</f>
        <v>14894448.511416852</v>
      </c>
      <c r="U43" s="33">
        <f>SUM(U28,U17)</f>
        <v>15401937.59576556</v>
      </c>
      <c r="V43" s="33">
        <f>SUM(V28,V17)</f>
        <v>15927229.177143946</v>
      </c>
      <c r="W43" s="33">
        <f>SUM(W28,W17)</f>
        <v>16470937.243022352</v>
      </c>
      <c r="X43" s="33">
        <f>SUM(X28,X17)</f>
        <v>17033696.677784577</v>
      </c>
      <c r="Y43" s="33">
        <f>SUM(Y28,Y17)</f>
        <v>17616163.96643129</v>
      </c>
      <c r="Z43" s="33">
        <f>SUM(Z28,Z17)</f>
        <v>18219017.921775118</v>
      </c>
      <c r="AA43" s="33">
        <f>SUM(AA28,AA17)</f>
        <v>18842960.435906142</v>
      </c>
    </row>
    <row r="44" spans="1:27" ht="12.75">
      <c r="A44" s="35">
        <v>23</v>
      </c>
      <c r="B44" s="36" t="s">
        <v>52</v>
      </c>
      <c r="C44" s="37">
        <f>SUM(C22,C24)</f>
        <v>4216859</v>
      </c>
      <c r="D44" s="37">
        <f>SUM(D22,D24)</f>
        <v>5932009</v>
      </c>
      <c r="E44" s="37">
        <f>SUM(E22,E24)</f>
        <v>6476116.28</v>
      </c>
      <c r="F44" s="37">
        <f>SUM(F22,F24)</f>
        <v>6701134</v>
      </c>
      <c r="G44" s="37">
        <f>SUM(G22,G24)</f>
        <v>7281140.890000001</v>
      </c>
      <c r="H44" s="37">
        <f>SUM(H22,H24)</f>
        <v>5854825.4345</v>
      </c>
      <c r="I44" s="37">
        <f>SUM(I22,I24)</f>
        <v>5854826.2345</v>
      </c>
      <c r="J44" s="37">
        <f>SUM(J22,J24)</f>
        <v>3452962.2345</v>
      </c>
      <c r="K44" s="37">
        <f>SUM(K22,K24)</f>
        <v>3452962.2345</v>
      </c>
      <c r="L44" s="37">
        <f>SUM(L22,L24)</f>
        <v>3452962.2345</v>
      </c>
      <c r="M44" s="37">
        <f>SUM(M22,M24)</f>
        <v>3452962.2345</v>
      </c>
      <c r="N44" s="37">
        <f>SUM(N22,N24)</f>
        <v>3452971.2345</v>
      </c>
      <c r="O44" s="37">
        <f>SUM(O22,O24)</f>
        <v>2438018.1245</v>
      </c>
      <c r="P44" s="37">
        <f>SUM(P22,P24)</f>
        <v>890539.3945</v>
      </c>
      <c r="Q44" s="37">
        <f>SUM(Q22,Q24)</f>
        <v>890539.3945</v>
      </c>
      <c r="R44" s="37">
        <f>SUM(R22,R24)</f>
        <v>890539.3945</v>
      </c>
      <c r="S44" s="37">
        <f>SUM(S22,S24)</f>
        <v>890539.3945</v>
      </c>
      <c r="T44" s="37">
        <f>SUM(T22,T24)</f>
        <v>890539.3945</v>
      </c>
      <c r="U44" s="37">
        <f>SUM(U22,U24)</f>
        <v>890539.3945</v>
      </c>
      <c r="V44" s="37">
        <f>SUM(V22,V24)</f>
        <v>890539.3945</v>
      </c>
      <c r="W44" s="37">
        <f>SUM(W22,W24)</f>
        <v>890539.3945</v>
      </c>
      <c r="X44" s="37">
        <f>SUM(X22,X24)</f>
        <v>890539.3945</v>
      </c>
      <c r="Y44" s="37">
        <f>SUM(Y22,Y24)</f>
        <v>890539.3945</v>
      </c>
      <c r="Z44" s="37">
        <f>SUM(Z22,Z24)</f>
        <v>890551.3945</v>
      </c>
      <c r="AA44" s="37">
        <f>SUM(AA22,AA24)</f>
        <v>418691.39450000005</v>
      </c>
    </row>
    <row r="45" spans="2:6" ht="12.75">
      <c r="B45" t="s">
        <v>53</v>
      </c>
      <c r="F45" s="5"/>
    </row>
    <row r="46" spans="6:26" ht="12.75">
      <c r="F46" s="5"/>
      <c r="X46" s="38"/>
      <c r="Y46" s="38"/>
      <c r="Z46" s="38"/>
    </row>
    <row r="47" spans="6:26" ht="12.75">
      <c r="F47" s="5"/>
      <c r="X47" s="38"/>
      <c r="Y47" s="38"/>
      <c r="Z47" s="38"/>
    </row>
    <row r="48" spans="1:27" ht="12.75">
      <c r="A48" s="39"/>
      <c r="B48" s="39"/>
      <c r="C48" s="39"/>
      <c r="D48" s="39"/>
      <c r="E48" s="39"/>
      <c r="F48" s="39">
        <v>2011</v>
      </c>
      <c r="G48" s="39">
        <v>2012</v>
      </c>
      <c r="H48" s="39">
        <v>2013</v>
      </c>
      <c r="I48" s="39">
        <v>2014</v>
      </c>
      <c r="J48" s="39">
        <v>2015</v>
      </c>
      <c r="K48" s="39">
        <v>2016</v>
      </c>
      <c r="L48" s="39">
        <v>2017</v>
      </c>
      <c r="M48" s="39">
        <v>2018</v>
      </c>
      <c r="N48" s="39">
        <v>2019</v>
      </c>
      <c r="O48" s="39">
        <v>2020</v>
      </c>
      <c r="P48" s="39">
        <v>2021</v>
      </c>
      <c r="Q48" s="39">
        <v>2022</v>
      </c>
      <c r="R48" s="39">
        <v>2023</v>
      </c>
      <c r="S48" s="39">
        <v>2024</v>
      </c>
      <c r="T48" s="39">
        <v>2025</v>
      </c>
      <c r="U48" s="39">
        <v>2026</v>
      </c>
      <c r="V48" s="39">
        <v>2027</v>
      </c>
      <c r="W48" s="39">
        <v>2028</v>
      </c>
      <c r="X48" s="39">
        <v>2029</v>
      </c>
      <c r="Y48" s="39">
        <v>2030</v>
      </c>
      <c r="Z48" s="39">
        <v>2031</v>
      </c>
      <c r="AA48" s="39">
        <v>2032</v>
      </c>
    </row>
    <row r="49" spans="1:27" ht="12.75">
      <c r="A49" s="39"/>
      <c r="B49" s="39"/>
      <c r="C49" s="39"/>
      <c r="D49" s="39"/>
      <c r="E49" s="39"/>
      <c r="F49" s="4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ht="12.75">
      <c r="A50" s="40"/>
      <c r="B50" s="41" t="s">
        <v>54</v>
      </c>
      <c r="C50" s="42">
        <f>zał2!B10</f>
        <v>46152445</v>
      </c>
      <c r="D50" s="42">
        <f>zał2!C10</f>
        <v>51664524</v>
      </c>
      <c r="E50" s="42">
        <f>zał2!D10</f>
        <v>54479628.2</v>
      </c>
      <c r="F50" s="42">
        <f>zał2!E10</f>
        <v>54856635.79</v>
      </c>
      <c r="G50" s="42">
        <f>zał2!F10</f>
        <v>58923494.61</v>
      </c>
      <c r="H50" s="42">
        <f>zał2!G10</f>
        <v>51033300</v>
      </c>
      <c r="I50" s="42">
        <f>zał2!H10</f>
        <v>52564299</v>
      </c>
      <c r="J50" s="42">
        <f>zał2!I10</f>
        <v>54141227.97</v>
      </c>
      <c r="K50" s="42">
        <f>zał2!J10</f>
        <v>55765464.8091</v>
      </c>
      <c r="L50" s="42">
        <f>zał2!K10</f>
        <v>57438428.753373004</v>
      </c>
      <c r="M50" s="42">
        <f>zał2!L10</f>
        <v>59161581.615974195</v>
      </c>
      <c r="N50" s="42">
        <f>zał2!M10</f>
        <v>60936429.06445342</v>
      </c>
      <c r="O50" s="42">
        <f>zał2!N10</f>
        <v>62764521.936387025</v>
      </c>
      <c r="P50" s="42">
        <f>zał2!O10</f>
        <v>64647457.59447864</v>
      </c>
      <c r="Q50" s="42">
        <f>zał2!P10</f>
        <v>66586881.322312996</v>
      </c>
      <c r="R50" s="42">
        <f>zał2!Q10</f>
        <v>68584487.76198238</v>
      </c>
      <c r="S50" s="42">
        <f>zał2!R10</f>
        <v>70642022.39484185</v>
      </c>
      <c r="T50" s="42">
        <f>zał2!S10</f>
        <v>72761283.0666871</v>
      </c>
      <c r="U50" s="42">
        <f>zał2!T10</f>
        <v>74944121.55868772</v>
      </c>
      <c r="V50" s="42">
        <f>zał2!U10</f>
        <v>77192445.20544834</v>
      </c>
      <c r="W50" s="42">
        <f>zał2!V10</f>
        <v>79508218.5616118</v>
      </c>
      <c r="X50" s="42">
        <f>zał2!W10</f>
        <v>81893465.11846015</v>
      </c>
      <c r="Y50" s="42">
        <f>zał2!X10</f>
        <v>84350269.07201396</v>
      </c>
      <c r="Z50" s="42">
        <f>zał2!Y10</f>
        <v>86880777.14417438</v>
      </c>
      <c r="AA50" s="42">
        <f>zał2!Z10</f>
        <v>89487200.45849961</v>
      </c>
    </row>
    <row r="51" spans="1:27" ht="12.75">
      <c r="A51" s="40"/>
      <c r="B51" s="41" t="s">
        <v>55</v>
      </c>
      <c r="C51" s="42"/>
      <c r="D51" s="42"/>
      <c r="E51" s="42"/>
      <c r="F51" s="42">
        <f>zał2!E37</f>
        <v>1650727.24</v>
      </c>
      <c r="G51" s="42">
        <f>zał2!F37</f>
        <v>2200000</v>
      </c>
      <c r="H51" s="42">
        <f>zał2!G37</f>
        <v>2146338.07593</v>
      </c>
      <c r="I51" s="42">
        <f>zał2!H37</f>
        <v>1795048.5018600002</v>
      </c>
      <c r="J51" s="42">
        <f>zał2!I37</f>
        <v>1587870.7677900002</v>
      </c>
      <c r="K51" s="42">
        <f>zał2!J37</f>
        <v>1380693.0337200004</v>
      </c>
      <c r="L51" s="42">
        <f>zał2!K37</f>
        <v>1173515.2996500004</v>
      </c>
      <c r="M51" s="42">
        <f>zał2!L37</f>
        <v>966337.5655800004</v>
      </c>
      <c r="N51" s="42">
        <f>zał2!M37</f>
        <v>759159.2915100005</v>
      </c>
      <c r="O51" s="42">
        <f>zał2!N37</f>
        <v>612878.2040400004</v>
      </c>
      <c r="P51" s="42">
        <f>zał2!O37</f>
        <v>559445.8403700005</v>
      </c>
      <c r="Q51" s="42">
        <f>zał2!P37</f>
        <v>506013.47670000046</v>
      </c>
      <c r="R51" s="42">
        <f>zał2!Q37</f>
        <v>452581.1130300004</v>
      </c>
      <c r="S51" s="42">
        <f>zał2!R37</f>
        <v>399148.7493600004</v>
      </c>
      <c r="T51" s="42">
        <f>zał2!S37</f>
        <v>345716.3856900004</v>
      </c>
      <c r="U51" s="42">
        <f>zał2!T37</f>
        <v>292284.0220200004</v>
      </c>
      <c r="V51" s="42">
        <f>zał2!U37</f>
        <v>238851.65835000036</v>
      </c>
      <c r="W51" s="42">
        <f>zał2!V37</f>
        <v>185419.29468000037</v>
      </c>
      <c r="X51" s="42">
        <f>zał2!W37</f>
        <v>131986.93101000038</v>
      </c>
      <c r="Y51" s="42">
        <f>zał2!X37</f>
        <v>78554.56734000039</v>
      </c>
      <c r="Z51" s="42">
        <f>zał2!Y37</f>
        <v>25121.48367000038</v>
      </c>
      <c r="AA51" s="42">
        <f>zał2!Z37</f>
        <v>0</v>
      </c>
    </row>
    <row r="52" spans="1:27" ht="12.75">
      <c r="A52" s="40"/>
      <c r="B52" s="41" t="s">
        <v>56</v>
      </c>
      <c r="C52" s="42"/>
      <c r="D52" s="42"/>
      <c r="E52" s="42"/>
      <c r="F52" s="43">
        <v>300000</v>
      </c>
      <c r="G52" s="43">
        <v>200000</v>
      </c>
      <c r="H52" s="42">
        <f>zał2!G15*0.03</f>
        <v>0</v>
      </c>
      <c r="I52" s="42">
        <f>zał2!H15*0.03</f>
        <v>0</v>
      </c>
      <c r="J52" s="42">
        <f>zał2!I15*0.03</f>
        <v>0</v>
      </c>
      <c r="K52" s="42">
        <f>zał2!J15*0.03</f>
        <v>0</v>
      </c>
      <c r="L52" s="42">
        <f>zał2!K15*0.03</f>
        <v>0</v>
      </c>
      <c r="M52" s="42">
        <f>zał2!L15*0.03</f>
        <v>0</v>
      </c>
      <c r="N52" s="42">
        <f>zał2!M15*0.03</f>
        <v>0</v>
      </c>
      <c r="O52" s="42">
        <f>zał2!N15*0.03</f>
        <v>0</v>
      </c>
      <c r="P52" s="42">
        <f>zał2!O15*0.03</f>
        <v>0</v>
      </c>
      <c r="Q52" s="42">
        <f>zał2!P15*0.03</f>
        <v>0</v>
      </c>
      <c r="R52" s="42">
        <f>zał2!Q15*0.03</f>
        <v>0</v>
      </c>
      <c r="S52" s="42">
        <f>zał2!R15*0.03</f>
        <v>0</v>
      </c>
      <c r="T52" s="42">
        <f>zał2!S15*0.03</f>
        <v>0</v>
      </c>
      <c r="U52" s="42">
        <f>zał2!T15*0.03</f>
        <v>0</v>
      </c>
      <c r="V52" s="42">
        <f>zał2!U15*0.03</f>
        <v>0</v>
      </c>
      <c r="W52" s="42">
        <f>zał2!V15*0.03</f>
        <v>0</v>
      </c>
      <c r="X52" s="42">
        <f>zał2!W15*0.03</f>
        <v>0</v>
      </c>
      <c r="Y52" s="42">
        <f>zał2!X15*0.03</f>
        <v>0</v>
      </c>
      <c r="Z52" s="42">
        <f>zał2!Y15*0.03</f>
        <v>0</v>
      </c>
      <c r="AA52" s="42">
        <f>zał2!Z15*0.03</f>
        <v>0</v>
      </c>
    </row>
    <row r="53" spans="1:27" ht="12.75">
      <c r="A53" s="40"/>
      <c r="B53" s="41" t="s">
        <v>57</v>
      </c>
      <c r="C53" s="43">
        <v>789474</v>
      </c>
      <c r="D53" s="43">
        <v>1074774</v>
      </c>
      <c r="E53" s="42">
        <f>zał2!D37</f>
        <v>1251424.59</v>
      </c>
      <c r="F53" s="42">
        <f>SUM(F51:F52)</f>
        <v>1950727.24</v>
      </c>
      <c r="G53" s="42">
        <f>SUM(G51:G52)</f>
        <v>2400000</v>
      </c>
      <c r="H53" s="42">
        <f>SUM(H51:H52)</f>
        <v>2146338.07593</v>
      </c>
      <c r="I53" s="42">
        <f>SUM(I51:I52)</f>
        <v>1795048.5018600002</v>
      </c>
      <c r="J53" s="42">
        <f>SUM(J51:J52)</f>
        <v>1587870.7677900002</v>
      </c>
      <c r="K53" s="42">
        <f>SUM(K51:K52)</f>
        <v>1380693.0337200004</v>
      </c>
      <c r="L53" s="42">
        <f>SUM(L51:L52)</f>
        <v>1173515.2996500004</v>
      </c>
      <c r="M53" s="42">
        <f>SUM(M51:M52)</f>
        <v>966337.5655800004</v>
      </c>
      <c r="N53" s="42">
        <f>SUM(N51:N52)</f>
        <v>759159.2915100005</v>
      </c>
      <c r="O53" s="42">
        <f>SUM(O51:O52)</f>
        <v>612878.2040400004</v>
      </c>
      <c r="P53" s="42">
        <f>SUM(P51:P52)</f>
        <v>559445.8403700005</v>
      </c>
      <c r="Q53" s="42">
        <f>SUM(Q51:Q52)</f>
        <v>506013.47670000046</v>
      </c>
      <c r="R53" s="42">
        <f>SUM(R51:R52)</f>
        <v>452581.1130300004</v>
      </c>
      <c r="S53" s="42">
        <f>SUM(S51:S52)</f>
        <v>399148.7493600004</v>
      </c>
      <c r="T53" s="42">
        <f>SUM(T51:T52)</f>
        <v>345716.3856900004</v>
      </c>
      <c r="U53" s="42">
        <f>SUM(U51:U52)</f>
        <v>292284.0220200004</v>
      </c>
      <c r="V53" s="42">
        <f>SUM(V51:V52)</f>
        <v>238851.65835000036</v>
      </c>
      <c r="W53" s="42">
        <f>SUM(W51:W52)</f>
        <v>185419.29468000037</v>
      </c>
      <c r="X53" s="42">
        <f>SUM(X51:X52)</f>
        <v>131986.93101000038</v>
      </c>
      <c r="Y53" s="42">
        <f>SUM(Y51:Y52)</f>
        <v>78554.56734000039</v>
      </c>
      <c r="Z53" s="42">
        <f>SUM(Z51:Z52)</f>
        <v>25121.48367000038</v>
      </c>
      <c r="AA53" s="42">
        <f>SUM(AA51:AA52)</f>
        <v>0</v>
      </c>
    </row>
    <row r="54" spans="1:27" ht="12.75">
      <c r="A54" s="40"/>
      <c r="B54" s="41" t="s">
        <v>58</v>
      </c>
      <c r="C54" s="44">
        <f>SUM(C50-C53)</f>
        <v>45362971</v>
      </c>
      <c r="D54" s="44">
        <f>SUM(D50-D53)</f>
        <v>50589750</v>
      </c>
      <c r="E54" s="44">
        <f>SUM(E50-E53)</f>
        <v>53228203.61</v>
      </c>
      <c r="F54" s="44">
        <f>SUM(F50-F53)</f>
        <v>52905908.55</v>
      </c>
      <c r="G54" s="44">
        <f>SUM(G50-G53)</f>
        <v>56523494.61</v>
      </c>
      <c r="H54" s="44">
        <f>SUM(H50-H53)</f>
        <v>48886961.92407</v>
      </c>
      <c r="I54" s="44">
        <f>SUM(I50-I53)</f>
        <v>50769250.49814</v>
      </c>
      <c r="J54" s="44">
        <f>SUM(J50-J53)</f>
        <v>52553357.20221</v>
      </c>
      <c r="K54" s="44">
        <f>SUM(K50-K53)</f>
        <v>54384771.77538</v>
      </c>
      <c r="L54" s="44">
        <f>SUM(L50-L53)</f>
        <v>56264913.453723006</v>
      </c>
      <c r="M54" s="44">
        <f>SUM(M50-M53)</f>
        <v>58195244.05039419</v>
      </c>
      <c r="N54" s="44">
        <f>SUM(N50-N53)</f>
        <v>60177269.77294342</v>
      </c>
      <c r="O54" s="44">
        <f>SUM(O50-O53)</f>
        <v>62151643.73234703</v>
      </c>
      <c r="P54" s="44">
        <f>SUM(P50-P53)</f>
        <v>64088011.75410864</v>
      </c>
      <c r="Q54" s="44">
        <f>SUM(Q50-Q53)</f>
        <v>66080867.845612995</v>
      </c>
      <c r="R54" s="44">
        <f>SUM(R50-R53)</f>
        <v>68131906.64895238</v>
      </c>
      <c r="S54" s="44">
        <f>SUM(S50-S53)</f>
        <v>70242873.64548185</v>
      </c>
      <c r="T54" s="44">
        <f>SUM(T50-T53)</f>
        <v>72415566.6809971</v>
      </c>
      <c r="U54" s="44">
        <f>SUM(U50-U53)</f>
        <v>74651837.53666772</v>
      </c>
      <c r="V54" s="44">
        <f>SUM(V50-V53)</f>
        <v>76953593.54709834</v>
      </c>
      <c r="W54" s="44">
        <f>SUM(W50-W53)</f>
        <v>79322799.2669318</v>
      </c>
      <c r="X54" s="44">
        <f>SUM(X50-X53)</f>
        <v>81761478.18745016</v>
      </c>
      <c r="Y54" s="44">
        <f>SUM(Y50-Y53)</f>
        <v>84271714.50467396</v>
      </c>
      <c r="Z54" s="44">
        <f>SUM(Z50-Z53)</f>
        <v>86855655.66050439</v>
      </c>
      <c r="AA54" s="44">
        <f>SUM(AA50-AA53)</f>
        <v>89487200.45849961</v>
      </c>
    </row>
    <row r="55" spans="1:27" ht="12.75">
      <c r="A55" s="39"/>
      <c r="B55" s="39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ht="12.75">
      <c r="A56" s="39"/>
      <c r="B56" s="39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ht="12.75">
      <c r="A57" s="39"/>
      <c r="B57" s="45" t="s">
        <v>59</v>
      </c>
      <c r="C57" s="44"/>
      <c r="D57" s="44"/>
      <c r="E57" s="46">
        <v>0</v>
      </c>
      <c r="F57" s="43">
        <v>0</v>
      </c>
      <c r="G57" s="47">
        <v>0</v>
      </c>
      <c r="H57" s="42">
        <f>zał2!G12</f>
        <v>7373584.522910006</v>
      </c>
      <c r="I57" s="42">
        <f>zał2!H12</f>
        <v>9854443.960700206</v>
      </c>
      <c r="J57" s="42">
        <f>zał2!I12</f>
        <v>10286355.338481918</v>
      </c>
      <c r="K57" s="42">
        <f>zał2!J12</f>
        <v>10658123.677424848</v>
      </c>
      <c r="L57" s="42">
        <f>zał2!K12</f>
        <v>11043003.574578516</v>
      </c>
      <c r="M57" s="42">
        <f>zał2!L12</f>
        <v>11441449.090438567</v>
      </c>
      <c r="N57" s="42">
        <f>zał2!M12</f>
        <v>11853929.789441697</v>
      </c>
      <c r="O57" s="42">
        <f>zał2!N12</f>
        <v>12280931.263429925</v>
      </c>
      <c r="P57" s="42">
        <f>zał2!O12</f>
        <v>12722955.672627255</v>
      </c>
      <c r="Q57" s="42">
        <f>zał2!P12</f>
        <v>13180522.304710627</v>
      </c>
      <c r="R57" s="42">
        <f>zał2!Q12</f>
        <v>13654168.152575552</v>
      </c>
      <c r="S57" s="42">
        <f>zał2!R12</f>
        <v>14144448.511416852</v>
      </c>
      <c r="T57" s="42">
        <f>zał2!S12</f>
        <v>14651937.59576556</v>
      </c>
      <c r="U57" s="42">
        <f>zał2!T12</f>
        <v>15177229.177143946</v>
      </c>
      <c r="V57" s="42">
        <f>zał2!U12</f>
        <v>15720937.243022352</v>
      </c>
      <c r="W57" s="42">
        <f>zał2!V12</f>
        <v>16283696.677784577</v>
      </c>
      <c r="X57" s="42">
        <f>zał2!W12</f>
        <v>16866163.96643129</v>
      </c>
      <c r="Y57" s="42">
        <f>zał2!X12</f>
        <v>17469017.921775118</v>
      </c>
      <c r="Z57" s="42">
        <f>zał2!Y12</f>
        <v>18092960.435906142</v>
      </c>
      <c r="AA57" s="42">
        <f>zał2!Z12</f>
        <v>18738717.256731912</v>
      </c>
    </row>
    <row r="58" spans="1:27" ht="12.75">
      <c r="A58" s="39"/>
      <c r="B58" s="45" t="s">
        <v>60</v>
      </c>
      <c r="C58" s="42"/>
      <c r="D58" s="42"/>
      <c r="E58" s="46"/>
      <c r="F58" s="48">
        <f>zał2!E22</f>
        <v>5983046.68</v>
      </c>
      <c r="G58" s="48">
        <f>zał2!F22</f>
        <v>1950140</v>
      </c>
      <c r="H58" s="48">
        <f>zał2!G22</f>
        <v>750000</v>
      </c>
      <c r="I58" s="48">
        <f>zał2!H22</f>
        <v>750000</v>
      </c>
      <c r="J58" s="48">
        <f>zał2!I22</f>
        <v>750000</v>
      </c>
      <c r="K58" s="48">
        <f>zał2!J22</f>
        <v>750000</v>
      </c>
      <c r="L58" s="48">
        <f>zał2!K22</f>
        <v>750000</v>
      </c>
      <c r="M58" s="48">
        <f>zał2!L22</f>
        <v>750000</v>
      </c>
      <c r="N58" s="48">
        <f>zał2!M22</f>
        <v>750000</v>
      </c>
      <c r="O58" s="48">
        <f>zał2!N22</f>
        <v>750000</v>
      </c>
      <c r="P58" s="48">
        <f>zał2!O22</f>
        <v>750000</v>
      </c>
      <c r="Q58" s="48">
        <f>zał2!P22</f>
        <v>750000</v>
      </c>
      <c r="R58" s="48">
        <f>zał2!Q22</f>
        <v>750000</v>
      </c>
      <c r="S58" s="48">
        <f>zał2!R22</f>
        <v>750000</v>
      </c>
      <c r="T58" s="48">
        <f>zał2!S22</f>
        <v>750000</v>
      </c>
      <c r="U58" s="48">
        <f>zał2!T22</f>
        <v>750000</v>
      </c>
      <c r="V58" s="48">
        <f>zał2!U22</f>
        <v>750000</v>
      </c>
      <c r="W58" s="48">
        <f>zał2!V22</f>
        <v>750000</v>
      </c>
      <c r="X58" s="48">
        <f>zał2!W22</f>
        <v>750000</v>
      </c>
      <c r="Y58" s="48">
        <f>zał2!X22</f>
        <v>750000</v>
      </c>
      <c r="Z58" s="48">
        <f>zał2!Y22</f>
        <v>750000</v>
      </c>
      <c r="AA58" s="48">
        <f>zał2!Z22</f>
        <v>750000</v>
      </c>
    </row>
    <row r="59" spans="1:27" ht="12.75">
      <c r="A59" s="39"/>
      <c r="B59" s="49" t="s">
        <v>23</v>
      </c>
      <c r="C59" s="50"/>
      <c r="D59" s="50"/>
      <c r="E59" s="50"/>
      <c r="F59" s="44">
        <f>SUM(E57+F58)</f>
        <v>5983046.68</v>
      </c>
      <c r="G59" s="44">
        <f>SUM(F57+G58)</f>
        <v>1950140</v>
      </c>
      <c r="H59" s="44">
        <f>SUM(G57+H58)</f>
        <v>750000</v>
      </c>
      <c r="I59" s="44">
        <f>SUM(H57+I58)</f>
        <v>8123584.522910006</v>
      </c>
      <c r="J59" s="44">
        <f>SUM(I57+J58)</f>
        <v>10604443.960700206</v>
      </c>
      <c r="K59" s="44">
        <f>SUM(J57+K58)</f>
        <v>11036355.338481918</v>
      </c>
      <c r="L59" s="44">
        <f>SUM(K57+L58)</f>
        <v>11408123.677424848</v>
      </c>
      <c r="M59" s="44">
        <f>SUM(L57+M58)</f>
        <v>11793003.574578516</v>
      </c>
      <c r="N59" s="44">
        <f>SUM(M57+N58)</f>
        <v>12191449.090438567</v>
      </c>
      <c r="O59" s="44">
        <f>SUM(N57+O58)</f>
        <v>12603929.789441697</v>
      </c>
      <c r="P59" s="44">
        <f>SUM(O57+P58)</f>
        <v>13030931.263429925</v>
      </c>
      <c r="Q59" s="44">
        <f>SUM(P57+Q58)</f>
        <v>13472955.672627255</v>
      </c>
      <c r="R59" s="44">
        <f>SUM(Q57+R58)</f>
        <v>13930522.304710627</v>
      </c>
      <c r="S59" s="44">
        <f>SUM(R57+S58)</f>
        <v>14404168.152575552</v>
      </c>
      <c r="T59" s="44">
        <f>SUM(S57+T58)</f>
        <v>14894448.511416852</v>
      </c>
      <c r="U59" s="44">
        <f>SUM(T57+U58)</f>
        <v>15401937.59576556</v>
      </c>
      <c r="V59" s="44">
        <f>SUM(U57+V58)</f>
        <v>15927229.177143946</v>
      </c>
      <c r="W59" s="44">
        <f>SUM(V57+W58)</f>
        <v>16470937.243022352</v>
      </c>
      <c r="X59" s="44">
        <f>SUM(W57+X58)</f>
        <v>17033696.677784577</v>
      </c>
      <c r="Y59" s="44">
        <f>SUM(X57+Y58)</f>
        <v>17616163.96643129</v>
      </c>
      <c r="Z59" s="44">
        <f>SUM(Y57+Z58)</f>
        <v>18219017.921775118</v>
      </c>
      <c r="AA59" s="44">
        <f>SUM(Z57+AA58)</f>
        <v>18842960.435906142</v>
      </c>
    </row>
    <row r="60" spans="1:27" ht="12.75">
      <c r="A60" s="39"/>
      <c r="B60" s="3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ht="12.75">
      <c r="A61" s="39"/>
      <c r="B61" s="39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ht="12.75">
      <c r="A62" s="39"/>
      <c r="B62" s="39"/>
      <c r="C62" s="39"/>
      <c r="D62" s="39"/>
      <c r="E62" s="39"/>
      <c r="F62" s="4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ht="12.75">
      <c r="F63" s="5"/>
    </row>
    <row r="64" ht="12.75">
      <c r="F64" s="5"/>
    </row>
  </sheetData>
  <sheetProtection selectLockedCells="1" selectUnlockedCells="1"/>
  <mergeCells count="8">
    <mergeCell ref="B1:M1"/>
    <mergeCell ref="Z1:AA1"/>
    <mergeCell ref="Z2:AA2"/>
    <mergeCell ref="A3:A4"/>
    <mergeCell ref="B3:B4"/>
    <mergeCell ref="C3:AA3"/>
    <mergeCell ref="X46:Z46"/>
    <mergeCell ref="X47:Z47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1">
      <selection activeCell="F10" sqref="F10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 t="s">
        <v>61</v>
      </c>
      <c r="Z1" s="52"/>
    </row>
    <row r="2" spans="1:26" ht="3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>
        <f>zał3!J2</f>
        <v>0</v>
      </c>
      <c r="Z2" s="52"/>
    </row>
    <row r="3" spans="1:27" ht="21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 t="s">
        <v>63</v>
      </c>
      <c r="Z3" s="53"/>
      <c r="AA3" t="s">
        <v>64</v>
      </c>
    </row>
    <row r="4" spans="1:26" ht="12.75">
      <c r="A4" s="54"/>
      <c r="B4" s="55" t="s">
        <v>65</v>
      </c>
      <c r="C4" s="55" t="s">
        <v>66</v>
      </c>
      <c r="D4" s="55" t="s">
        <v>67</v>
      </c>
      <c r="E4" s="55" t="s">
        <v>68</v>
      </c>
      <c r="F4" s="56" t="s">
        <v>69</v>
      </c>
      <c r="G4" s="55" t="s">
        <v>70</v>
      </c>
      <c r="H4" s="55" t="s">
        <v>71</v>
      </c>
      <c r="I4" s="55" t="s">
        <v>72</v>
      </c>
      <c r="J4" s="55" t="s">
        <v>73</v>
      </c>
      <c r="K4" s="55" t="s">
        <v>74</v>
      </c>
      <c r="L4" s="55" t="s">
        <v>75</v>
      </c>
      <c r="M4" s="55" t="s">
        <v>76</v>
      </c>
      <c r="N4" s="55" t="s">
        <v>77</v>
      </c>
      <c r="O4" s="55" t="s">
        <v>78</v>
      </c>
      <c r="P4" s="55" t="s">
        <v>79</v>
      </c>
      <c r="Q4" s="55" t="s">
        <v>80</v>
      </c>
      <c r="R4" s="55" t="s">
        <v>81</v>
      </c>
      <c r="S4" s="55" t="s">
        <v>82</v>
      </c>
      <c r="T4" s="55" t="s">
        <v>83</v>
      </c>
      <c r="U4" s="55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</row>
    <row r="5" spans="1:26" ht="24.75" customHeight="1">
      <c r="A5" s="57" t="s">
        <v>90</v>
      </c>
      <c r="B5" s="58">
        <f>B6+B7</f>
        <v>56602913</v>
      </c>
      <c r="C5" s="58">
        <f>C6+C7</f>
        <v>65638462</v>
      </c>
      <c r="D5" s="58">
        <f>D6+D7</f>
        <v>76066696.03</v>
      </c>
      <c r="E5" s="59">
        <v>72674133.27</v>
      </c>
      <c r="F5" s="58">
        <f>F6+F7</f>
        <v>80280638.61</v>
      </c>
      <c r="G5" s="58">
        <f>G6+G7</f>
        <v>67576240.70291</v>
      </c>
      <c r="H5" s="58">
        <f>H6+H7</f>
        <v>64918742.96070021</v>
      </c>
      <c r="I5" s="58">
        <f>I6+I7</f>
        <v>66927583.30848192</v>
      </c>
      <c r="J5" s="58">
        <f>J6+J7</f>
        <v>68998588.48652485</v>
      </c>
      <c r="K5" s="58">
        <f>K6+K7</f>
        <v>71133682.32795152</v>
      </c>
      <c r="L5" s="58">
        <f>L6+L7</f>
        <v>73334848.20641276</v>
      </c>
      <c r="M5" s="58">
        <f>M6+M7</f>
        <v>75604130.87889512</v>
      </c>
      <c r="N5" s="58">
        <f>N6+N7</f>
        <v>77943638.38556695</v>
      </c>
      <c r="O5" s="58">
        <f>O6+O7</f>
        <v>80355544.0084284</v>
      </c>
      <c r="P5" s="58">
        <f>P6+P7</f>
        <v>82842088.2905858</v>
      </c>
      <c r="Q5" s="58">
        <f>Q6+Q7</f>
        <v>85405581.11802697</v>
      </c>
      <c r="R5" s="58">
        <f>R6+R7</f>
        <v>88048403.8658318</v>
      </c>
      <c r="S5" s="58">
        <f>S6+S7</f>
        <v>90773011.61081298</v>
      </c>
      <c r="T5" s="58">
        <f>T6+T7</f>
        <v>93581935.41264278</v>
      </c>
      <c r="U5" s="58">
        <f>U6+U7</f>
        <v>96477784.66558614</v>
      </c>
      <c r="V5" s="58">
        <f>V6+V7</f>
        <v>99463249.52302529</v>
      </c>
      <c r="W5" s="58">
        <f>W6+W7</f>
        <v>102541103.39702922</v>
      </c>
      <c r="X5" s="58">
        <f>X6+X7</f>
        <v>105714205.53529099</v>
      </c>
      <c r="Y5" s="58">
        <f>Y6+Y7</f>
        <v>108985503.67782749</v>
      </c>
      <c r="Z5" s="58">
        <f>Z6+Z7</f>
        <v>112358036.7959109</v>
      </c>
    </row>
    <row r="6" spans="1:26" ht="23.25" customHeight="1">
      <c r="A6" s="60" t="s">
        <v>91</v>
      </c>
      <c r="B6" s="61">
        <v>48236781</v>
      </c>
      <c r="C6" s="61">
        <v>54877794</v>
      </c>
      <c r="D6" s="62">
        <v>59404315.82</v>
      </c>
      <c r="E6" s="61">
        <v>61924678.14</v>
      </c>
      <c r="F6" s="61">
        <f>57504361+18960+31000+3350-537098+153002+474879.61</f>
        <v>57648454.61</v>
      </c>
      <c r="G6" s="63">
        <f>SUM(F6+0.031*F6)</f>
        <v>59435556.70291</v>
      </c>
      <c r="H6" s="63">
        <f>SUM(G6+0.031*G6)</f>
        <v>61278058.96070021</v>
      </c>
      <c r="I6" s="63">
        <f>SUM(H6+0.031*H6)</f>
        <v>63177678.78848191</v>
      </c>
      <c r="J6" s="63">
        <f>SUM(I6+0.031*I6)</f>
        <v>65136186.83092485</v>
      </c>
      <c r="K6" s="63">
        <f>SUM(J6+0.031*J6)</f>
        <v>67155408.62268353</v>
      </c>
      <c r="L6" s="63">
        <f>SUM(K6+0.031*K6)</f>
        <v>69237226.28998671</v>
      </c>
      <c r="M6" s="63">
        <f>SUM(L6+0.031*L6)</f>
        <v>71383580.3049763</v>
      </c>
      <c r="N6" s="63">
        <f>SUM(M6+0.031*M6)</f>
        <v>73596471.29443057</v>
      </c>
      <c r="O6" s="63">
        <f>SUM(N6+0.031*N6)</f>
        <v>75877961.90455791</v>
      </c>
      <c r="P6" s="63">
        <f>SUM(O6+0.031*O6)</f>
        <v>78230178.72359921</v>
      </c>
      <c r="Q6" s="63">
        <f>SUM(P6+0.031*P6)</f>
        <v>80655314.26403078</v>
      </c>
      <c r="R6" s="63">
        <f>SUM(Q6+0.031*Q6)</f>
        <v>83155629.00621574</v>
      </c>
      <c r="S6" s="63">
        <f>SUM(R6+0.031*R6)</f>
        <v>85733453.50540842</v>
      </c>
      <c r="T6" s="63">
        <f>SUM(S6+0.031*S6)</f>
        <v>88391190.56407608</v>
      </c>
      <c r="U6" s="63">
        <f>SUM(T6+0.031*T6)</f>
        <v>91131317.47156245</v>
      </c>
      <c r="V6" s="63">
        <f>SUM(U6+0.031*U6)</f>
        <v>93956388.31318088</v>
      </c>
      <c r="W6" s="63">
        <f>SUM(V6+0.031*V6)</f>
        <v>96869036.35088949</v>
      </c>
      <c r="X6" s="63">
        <f>SUM(W6+0.031*W6)</f>
        <v>99871976.47776707</v>
      </c>
      <c r="Y6" s="63">
        <f>SUM(X6+0.031*X6)</f>
        <v>102968007.74857785</v>
      </c>
      <c r="Z6" s="63">
        <f>SUM(Y6+0.031*Y6)</f>
        <v>106160015.98878376</v>
      </c>
    </row>
    <row r="7" spans="1:26" ht="20.25" customHeight="1">
      <c r="A7" s="60" t="s">
        <v>92</v>
      </c>
      <c r="B7" s="61">
        <v>8366132</v>
      </c>
      <c r="C7" s="61">
        <v>10760668</v>
      </c>
      <c r="D7" s="62">
        <v>16662380.21</v>
      </c>
      <c r="E7" s="61">
        <v>10749455.13</v>
      </c>
      <c r="F7" s="61">
        <f>22611884+20300</f>
        <v>22632184</v>
      </c>
      <c r="G7" s="61">
        <v>8140684</v>
      </c>
      <c r="H7" s="61">
        <v>3640684</v>
      </c>
      <c r="I7" s="63">
        <f>SUM(H7+0.03*H7)</f>
        <v>3749904.52</v>
      </c>
      <c r="J7" s="63">
        <f>SUM(I7+0.03*I7)</f>
        <v>3862401.6556</v>
      </c>
      <c r="K7" s="63">
        <f>SUM(J7+0.03*J7)</f>
        <v>3978273.7052680003</v>
      </c>
      <c r="L7" s="63">
        <f>SUM(K7+0.03*K7)</f>
        <v>4097621.91642604</v>
      </c>
      <c r="M7" s="63">
        <f>SUM(L7+0.03*L7)</f>
        <v>4220550.573918821</v>
      </c>
      <c r="N7" s="63">
        <f>SUM(M7+0.03*M7)</f>
        <v>4347167.091136386</v>
      </c>
      <c r="O7" s="63">
        <f>SUM(N7+0.03*N7)</f>
        <v>4477582.1038704775</v>
      </c>
      <c r="P7" s="63">
        <f>SUM(O7+0.03*O7)</f>
        <v>4611909.566986592</v>
      </c>
      <c r="Q7" s="63">
        <f>SUM(P7+0.03*P7)</f>
        <v>4750266.853996189</v>
      </c>
      <c r="R7" s="63">
        <f>SUM(Q7+0.03*Q7)</f>
        <v>4892774.859616075</v>
      </c>
      <c r="S7" s="63">
        <f>SUM(R7+0.03*R7)</f>
        <v>5039558.105404557</v>
      </c>
      <c r="T7" s="63">
        <f>SUM(S7+0.03*S7)</f>
        <v>5190744.848566693</v>
      </c>
      <c r="U7" s="63">
        <f>SUM(T7+0.03*T7)</f>
        <v>5346467.194023694</v>
      </c>
      <c r="V7" s="63">
        <f>SUM(U7+0.03*U7)</f>
        <v>5506861.209844405</v>
      </c>
      <c r="W7" s="63">
        <f>SUM(V7+0.03*V7)</f>
        <v>5672067.046139737</v>
      </c>
      <c r="X7" s="63">
        <f>SUM(W7+0.03*W7)</f>
        <v>5842229.057523929</v>
      </c>
      <c r="Y7" s="63">
        <f>SUM(X7+0.03*X7)</f>
        <v>6017495.929249646</v>
      </c>
      <c r="Z7" s="63">
        <f>SUM(Y7+0.03*Y7)</f>
        <v>6198020.807127136</v>
      </c>
    </row>
    <row r="8" spans="1:26" ht="20.25" customHeight="1">
      <c r="A8" s="60" t="s">
        <v>93</v>
      </c>
      <c r="B8" s="61">
        <v>2943102</v>
      </c>
      <c r="C8" s="61">
        <v>1702924</v>
      </c>
      <c r="D8" s="64">
        <v>1908591.03</v>
      </c>
      <c r="E8" s="61">
        <v>1643757.32</v>
      </c>
      <c r="F8" s="61">
        <f>4830000</f>
        <v>4830000</v>
      </c>
      <c r="G8" s="61">
        <f>6000000</f>
        <v>6000000</v>
      </c>
      <c r="H8" s="61">
        <v>1500000</v>
      </c>
      <c r="I8" s="63">
        <f>SUM(H8+0.03*H8)</f>
        <v>1545000</v>
      </c>
      <c r="J8" s="63">
        <f>SUM(I8+0.03*I8)</f>
        <v>1591350</v>
      </c>
      <c r="K8" s="63">
        <f>SUM(J8+0.03*J8)</f>
        <v>1639090.5</v>
      </c>
      <c r="L8" s="63">
        <f>SUM(K8+0.03*K8)</f>
        <v>1688263.215</v>
      </c>
      <c r="M8" s="63">
        <f>SUM(L8+0.03*L8)</f>
        <v>1738911.1114500002</v>
      </c>
      <c r="N8" s="63">
        <f>SUM(M8+0.03*M8)</f>
        <v>1791078.4447935002</v>
      </c>
      <c r="O8" s="63">
        <f>SUM(N8+0.03*N8)</f>
        <v>1844810.7981373053</v>
      </c>
      <c r="P8" s="63">
        <f>SUM(O8+0.03*O8)</f>
        <v>1900155.1220814246</v>
      </c>
      <c r="Q8" s="63">
        <f>SUM(P8+0.03*P8)</f>
        <v>1957159.7757438673</v>
      </c>
      <c r="R8" s="63">
        <f>SUM(Q8+0.03*Q8)</f>
        <v>2015874.5690161833</v>
      </c>
      <c r="S8" s="63">
        <f>SUM(R8+0.03*R8)</f>
        <v>2076350.8060866687</v>
      </c>
      <c r="T8" s="63">
        <f>SUM(S8+0.03*S8)</f>
        <v>2138641.3302692687</v>
      </c>
      <c r="U8" s="63">
        <f>SUM(T8+0.03*T8)</f>
        <v>2202800.570177347</v>
      </c>
      <c r="V8" s="63">
        <f>SUM(U8+0.03*U8)</f>
        <v>2268884.5872826674</v>
      </c>
      <c r="W8" s="63">
        <f>SUM(V8+0.03*V8)</f>
        <v>2336951.1249011476</v>
      </c>
      <c r="X8" s="63">
        <f>SUM(W8+0.03*W8)</f>
        <v>2407059.658648182</v>
      </c>
      <c r="Y8" s="63">
        <f>SUM(X8+0.03*X8)</f>
        <v>2479271.4484076276</v>
      </c>
      <c r="Z8" s="63">
        <f>SUM(Y8+0.03*Y8)</f>
        <v>2553649.5918598566</v>
      </c>
    </row>
    <row r="9" spans="1:26" ht="21.75" customHeight="1">
      <c r="A9" s="57" t="s">
        <v>94</v>
      </c>
      <c r="B9" s="58">
        <f>B10+B11</f>
        <v>64898002</v>
      </c>
      <c r="C9" s="58">
        <f>C10+C11</f>
        <v>71336733</v>
      </c>
      <c r="D9" s="58">
        <f>D10+D11</f>
        <v>82713065.63</v>
      </c>
      <c r="E9" s="58">
        <f>E10+E11</f>
        <v>80446015.95</v>
      </c>
      <c r="F9" s="58">
        <f>F10+F11</f>
        <v>83323465.61</v>
      </c>
      <c r="G9" s="58">
        <f>G10+G11</f>
        <v>60202656.18</v>
      </c>
      <c r="H9" s="58">
        <f>H10+H11</f>
        <v>55064299</v>
      </c>
      <c r="I9" s="58">
        <f>I10+I11</f>
        <v>56641227.97</v>
      </c>
      <c r="J9" s="58">
        <f>J10+J11</f>
        <v>58340464.8091</v>
      </c>
      <c r="K9" s="58">
        <f>K10+K11</f>
        <v>60090678.753373004</v>
      </c>
      <c r="L9" s="58">
        <f>L10+L11</f>
        <v>61893399.115974195</v>
      </c>
      <c r="M9" s="58">
        <f>M10+M11</f>
        <v>63750201.08945342</v>
      </c>
      <c r="N9" s="58">
        <f>N10+N11</f>
        <v>65662707.122137025</v>
      </c>
      <c r="O9" s="58">
        <f>O10+O11</f>
        <v>67632588.33580114</v>
      </c>
      <c r="P9" s="58">
        <f>P10+P11</f>
        <v>69661565.98587517</v>
      </c>
      <c r="Q9" s="58">
        <f>Q10+Q11</f>
        <v>71751412.96545142</v>
      </c>
      <c r="R9" s="58">
        <f>R10+R11</f>
        <v>73903955.35441495</v>
      </c>
      <c r="S9" s="58">
        <f>S10+S11</f>
        <v>76121074.01504742</v>
      </c>
      <c r="T9" s="58">
        <f>T10+T11</f>
        <v>78404706.23549883</v>
      </c>
      <c r="U9" s="58">
        <f>U10+U11</f>
        <v>80756847.42256379</v>
      </c>
      <c r="V9" s="58">
        <f>V10+V11</f>
        <v>83179552.84524071</v>
      </c>
      <c r="W9" s="58">
        <f>W10+W11</f>
        <v>85674939.43059793</v>
      </c>
      <c r="X9" s="58">
        <f>X10+X11</f>
        <v>88245187.61351587</v>
      </c>
      <c r="Y9" s="58">
        <f>Y10+Y11</f>
        <v>90892543.24192135</v>
      </c>
      <c r="Z9" s="58">
        <f>Z10+Z11</f>
        <v>93619319.53917898</v>
      </c>
    </row>
    <row r="10" spans="1:26" ht="25.5" customHeight="1">
      <c r="A10" s="60" t="s">
        <v>95</v>
      </c>
      <c r="B10" s="61">
        <v>46152445</v>
      </c>
      <c r="C10" s="61">
        <v>51664524</v>
      </c>
      <c r="D10" s="62">
        <v>54479628.2</v>
      </c>
      <c r="E10" s="61">
        <v>54856635.79</v>
      </c>
      <c r="F10" s="61">
        <f>58793501+18960+31000+3350-537098+138902+474879.61</f>
        <v>58923494.61</v>
      </c>
      <c r="G10" s="61">
        <f>50683300+350000</f>
        <v>51033300</v>
      </c>
      <c r="H10" s="63">
        <f>SUM(G10+0.03*G10)</f>
        <v>52564299</v>
      </c>
      <c r="I10" s="63">
        <f>SUM(H10+0.03*H10)</f>
        <v>54141227.97</v>
      </c>
      <c r="J10" s="63">
        <f>SUM(I10+0.03*I10)</f>
        <v>55765464.8091</v>
      </c>
      <c r="K10" s="63">
        <f>SUM(J10+0.03*J10)</f>
        <v>57438428.753373004</v>
      </c>
      <c r="L10" s="63">
        <f>SUM(K10+0.03*K10)</f>
        <v>59161581.615974195</v>
      </c>
      <c r="M10" s="63">
        <f>SUM(L10+0.03*L10)</f>
        <v>60936429.06445342</v>
      </c>
      <c r="N10" s="63">
        <f>SUM(M10+0.03*M10)</f>
        <v>62764521.936387025</v>
      </c>
      <c r="O10" s="63">
        <f>SUM(N10+0.03*N10)</f>
        <v>64647457.59447864</v>
      </c>
      <c r="P10" s="63">
        <f>SUM(O10+0.03*O10)</f>
        <v>66586881.322312996</v>
      </c>
      <c r="Q10" s="63">
        <f>SUM(P10+0.03*P10)</f>
        <v>68584487.76198238</v>
      </c>
      <c r="R10" s="63">
        <f>SUM(Q10+0.03*Q10)</f>
        <v>70642022.39484185</v>
      </c>
      <c r="S10" s="63">
        <f>SUM(R10+0.03*R10)</f>
        <v>72761283.0666871</v>
      </c>
      <c r="T10" s="63">
        <f>SUM(S10+0.03*S10)</f>
        <v>74944121.55868772</v>
      </c>
      <c r="U10" s="63">
        <f>SUM(T10+0.03*T10)</f>
        <v>77192445.20544834</v>
      </c>
      <c r="V10" s="63">
        <f>SUM(U10+0.03*U10)</f>
        <v>79508218.5616118</v>
      </c>
      <c r="W10" s="63">
        <f>SUM(V10+0.03*V10)</f>
        <v>81893465.11846015</v>
      </c>
      <c r="X10" s="63">
        <f>SUM(W10+0.03*W10)</f>
        <v>84350269.07201396</v>
      </c>
      <c r="Y10" s="63">
        <f>SUM(X10+0.03*X10)</f>
        <v>86880777.14417438</v>
      </c>
      <c r="Z10" s="63">
        <f>SUM(Y10+0.03*Y10)</f>
        <v>89487200.45849961</v>
      </c>
    </row>
    <row r="11" spans="1:26" ht="21" customHeight="1">
      <c r="A11" s="60" t="s">
        <v>96</v>
      </c>
      <c r="B11" s="61">
        <v>18745557</v>
      </c>
      <c r="C11" s="61">
        <v>19672209</v>
      </c>
      <c r="D11" s="62">
        <v>28233437.43</v>
      </c>
      <c r="E11" s="61">
        <v>25589380.16</v>
      </c>
      <c r="F11" s="61">
        <f>24365571+34400</f>
        <v>24399971</v>
      </c>
      <c r="G11" s="63">
        <f>zał3!I10+1000000</f>
        <v>9169356.18</v>
      </c>
      <c r="H11" s="63">
        <f>zał3!J10+1000000</f>
        <v>2500000</v>
      </c>
      <c r="I11" s="63">
        <f>zał3!K10+1000000</f>
        <v>2500000</v>
      </c>
      <c r="J11" s="63">
        <f>SUM(I11+0.03*I11)</f>
        <v>2575000</v>
      </c>
      <c r="K11" s="63">
        <f>SUM(J11+0.03*J11)</f>
        <v>2652250</v>
      </c>
      <c r="L11" s="63">
        <f>SUM(K11+0.03*K11)</f>
        <v>2731817.5</v>
      </c>
      <c r="M11" s="63">
        <f>SUM(L11+0.03*L11)</f>
        <v>2813772.025</v>
      </c>
      <c r="N11" s="63">
        <f>SUM(M11+0.03*M11)</f>
        <v>2898185.1857499997</v>
      </c>
      <c r="O11" s="63">
        <f>SUM(N11+0.03*N11)</f>
        <v>2985130.7413224997</v>
      </c>
      <c r="P11" s="63">
        <f>SUM(O11+0.03*O11)</f>
        <v>3074684.663562175</v>
      </c>
      <c r="Q11" s="63">
        <f>SUM(P11+0.03*P11)</f>
        <v>3166925.2034690403</v>
      </c>
      <c r="R11" s="63">
        <f>SUM(Q11+0.03*Q11)</f>
        <v>3261932.9595731115</v>
      </c>
      <c r="S11" s="63">
        <f>SUM(R11+0.03*R11)</f>
        <v>3359790.948360305</v>
      </c>
      <c r="T11" s="63">
        <f>SUM(S11+0.03*S11)</f>
        <v>3460584.676811114</v>
      </c>
      <c r="U11" s="63">
        <f>SUM(T11+0.03*T11)</f>
        <v>3564402.2171154474</v>
      </c>
      <c r="V11" s="63">
        <f>SUM(U11+0.03*U11)</f>
        <v>3671334.283628911</v>
      </c>
      <c r="W11" s="63">
        <f>SUM(V11+0.03*V11)</f>
        <v>3781474.312137778</v>
      </c>
      <c r="X11" s="63">
        <f>SUM(W11+0.03*W11)</f>
        <v>3894918.5415019114</v>
      </c>
      <c r="Y11" s="63">
        <f>SUM(X11+0.03*X11)</f>
        <v>4011766.0977469687</v>
      </c>
      <c r="Z11" s="63">
        <f>SUM(Y11+0.03*Y11)</f>
        <v>4132119.080679378</v>
      </c>
    </row>
    <row r="12" spans="1:26" ht="21.75" customHeight="1">
      <c r="A12" s="57" t="s">
        <v>97</v>
      </c>
      <c r="B12" s="58">
        <f>B5-B9</f>
        <v>-8295089</v>
      </c>
      <c r="C12" s="58">
        <f>C5-C9</f>
        <v>-5698271</v>
      </c>
      <c r="D12" s="58">
        <f>D5-D9</f>
        <v>-6646369.599999994</v>
      </c>
      <c r="E12" s="58">
        <f>E5-E9</f>
        <v>-7771882.680000007</v>
      </c>
      <c r="F12" s="58">
        <f>F5-F9</f>
        <v>-3042827</v>
      </c>
      <c r="G12" s="58">
        <f>G5-G9</f>
        <v>7373584.522910006</v>
      </c>
      <c r="H12" s="58">
        <f>H5-H9</f>
        <v>9854443.960700206</v>
      </c>
      <c r="I12" s="58">
        <f>I5-I9</f>
        <v>10286355.338481918</v>
      </c>
      <c r="J12" s="58">
        <f>J5-J9</f>
        <v>10658123.677424848</v>
      </c>
      <c r="K12" s="58">
        <f>K5-K9</f>
        <v>11043003.574578516</v>
      </c>
      <c r="L12" s="58">
        <f>L5-L9</f>
        <v>11441449.090438567</v>
      </c>
      <c r="M12" s="58">
        <f>M5-M9</f>
        <v>11853929.789441697</v>
      </c>
      <c r="N12" s="58">
        <f>N5-N9</f>
        <v>12280931.263429925</v>
      </c>
      <c r="O12" s="58">
        <f>O5-O9</f>
        <v>12722955.672627255</v>
      </c>
      <c r="P12" s="58">
        <f>P5-P9</f>
        <v>13180522.304710627</v>
      </c>
      <c r="Q12" s="58">
        <f>Q5-Q9</f>
        <v>13654168.152575552</v>
      </c>
      <c r="R12" s="58">
        <f>R5-R9</f>
        <v>14144448.511416852</v>
      </c>
      <c r="S12" s="58">
        <f>S5-S9</f>
        <v>14651937.59576556</v>
      </c>
      <c r="T12" s="58">
        <f>T5-T9</f>
        <v>15177229.177143946</v>
      </c>
      <c r="U12" s="58">
        <f>U5-U9</f>
        <v>15720937.243022352</v>
      </c>
      <c r="V12" s="58">
        <f>V5-V9</f>
        <v>16283696.677784577</v>
      </c>
      <c r="W12" s="58">
        <f>W5-W9</f>
        <v>16866163.96643129</v>
      </c>
      <c r="X12" s="58">
        <f>X5-X9</f>
        <v>17469017.921775118</v>
      </c>
      <c r="Y12" s="58">
        <f>Y5-Y9</f>
        <v>18092960.435906142</v>
      </c>
      <c r="Z12" s="58">
        <f>Z5-Z9</f>
        <v>18738717.256731912</v>
      </c>
    </row>
    <row r="13" spans="1:26" ht="24" customHeight="1">
      <c r="A13" s="57" t="s">
        <v>98</v>
      </c>
      <c r="B13" s="58">
        <f>B14-B24</f>
        <v>12402721</v>
      </c>
      <c r="C13" s="58">
        <f>C14-C24</f>
        <v>8941150.98</v>
      </c>
      <c r="D13" s="58">
        <f>D14-D24</f>
        <v>12450511.719999999</v>
      </c>
      <c r="E13" s="59">
        <v>8482960.68</v>
      </c>
      <c r="F13" s="58">
        <f>F14-F24</f>
        <v>3042827</v>
      </c>
      <c r="G13" s="58">
        <f>G14-G24</f>
        <v>-5104825.4345</v>
      </c>
      <c r="H13" s="58">
        <f>H14-H24</f>
        <v>-5104826.2345</v>
      </c>
      <c r="I13" s="58">
        <f>I14-I24</f>
        <v>-2702962.2345</v>
      </c>
      <c r="J13" s="58">
        <f>J14-J24</f>
        <v>-2702962.2345</v>
      </c>
      <c r="K13" s="58">
        <f>K14-K24</f>
        <v>-2702962.2345</v>
      </c>
      <c r="L13" s="58">
        <f>L14-L24</f>
        <v>-2702962.2345</v>
      </c>
      <c r="M13" s="58">
        <f>M14-M24</f>
        <v>-2702971.2345</v>
      </c>
      <c r="N13" s="58">
        <f>N14-N24</f>
        <v>-1688018.1245</v>
      </c>
      <c r="O13" s="58">
        <f>O14-O24</f>
        <v>-140539.39450000005</v>
      </c>
      <c r="P13" s="58">
        <f>P14-P24</f>
        <v>-140539.39450000005</v>
      </c>
      <c r="Q13" s="58">
        <f>Q14-Q24</f>
        <v>-140539.39450000005</v>
      </c>
      <c r="R13" s="58">
        <f>R14-R24</f>
        <v>-140539.39450000005</v>
      </c>
      <c r="S13" s="58">
        <f>S14-S24</f>
        <v>-140539.39450000005</v>
      </c>
      <c r="T13" s="58">
        <f>T14-T24</f>
        <v>-140539.39450000005</v>
      </c>
      <c r="U13" s="58">
        <f>U14-U24</f>
        <v>-140539.39450000005</v>
      </c>
      <c r="V13" s="58">
        <f>V14-V24</f>
        <v>-140539.39450000005</v>
      </c>
      <c r="W13" s="58">
        <f>W14-W24</f>
        <v>-140539.39450000005</v>
      </c>
      <c r="X13" s="58">
        <f>X14-X24</f>
        <v>-140539.39450000005</v>
      </c>
      <c r="Y13" s="58">
        <f>Y14-Y24</f>
        <v>-140551.39450000005</v>
      </c>
      <c r="Z13" s="58">
        <f>Z14-Z24</f>
        <v>331308.60549999995</v>
      </c>
    </row>
    <row r="14" spans="1:26" ht="23.25" customHeight="1">
      <c r="A14" s="57" t="s">
        <v>99</v>
      </c>
      <c r="B14" s="58">
        <f>B15+B17+B19+B20+B21+B22+B23</f>
        <v>16619580</v>
      </c>
      <c r="C14" s="58">
        <f>C15+C17+C19+C20+C21+C22+C23</f>
        <v>14873160</v>
      </c>
      <c r="D14" s="58">
        <f>D15+D17+D19+D20+D21+D22+D23</f>
        <v>18926628</v>
      </c>
      <c r="E14" s="59">
        <v>15184094.68</v>
      </c>
      <c r="F14" s="58">
        <f>F15+F17+F19+F20+F21+F22+F23</f>
        <v>10323967.89</v>
      </c>
      <c r="G14" s="58">
        <f>G15+G17+G19+G20+G21+G22+G23</f>
        <v>750000</v>
      </c>
      <c r="H14" s="58">
        <f>H15+H17+H19+H20+H21+H22+H23</f>
        <v>750000</v>
      </c>
      <c r="I14" s="58">
        <f>I15+I17+I19+I20+I21+I22+I23</f>
        <v>750000</v>
      </c>
      <c r="J14" s="58">
        <f>J15+J17+J19+J20+J21+J22+J23</f>
        <v>750000</v>
      </c>
      <c r="K14" s="58">
        <f>K15+K17+K19+K20+K21+K22+K23</f>
        <v>750000</v>
      </c>
      <c r="L14" s="58">
        <f>L15+L17+L19+L20+L21+L22+L23</f>
        <v>750000</v>
      </c>
      <c r="M14" s="58">
        <f>M15+M17+M19+M20+M21+M22+M23</f>
        <v>750000</v>
      </c>
      <c r="N14" s="58">
        <f>N15+N17+N19+N20+N21+N22+N23</f>
        <v>750000</v>
      </c>
      <c r="O14" s="58">
        <f>O15+O17+O19+O20+O21+O22+O23</f>
        <v>750000</v>
      </c>
      <c r="P14" s="58">
        <f>P15+P17+P19+P20+P21+P22+P23</f>
        <v>750000</v>
      </c>
      <c r="Q14" s="58">
        <f>Q15+Q17+Q19+Q20+Q21+Q22+Q23</f>
        <v>750000</v>
      </c>
      <c r="R14" s="58">
        <f>R15+R17+R19+R20+R21+R22+R23</f>
        <v>750000</v>
      </c>
      <c r="S14" s="58">
        <f>S15+S17+S19+S20+S21+S22+S23</f>
        <v>750000</v>
      </c>
      <c r="T14" s="58">
        <f>T15+T17+T19+T20+T21+T22+T23</f>
        <v>750000</v>
      </c>
      <c r="U14" s="58">
        <f>U15+U17+U19+U20+U21+U22+U23</f>
        <v>750000</v>
      </c>
      <c r="V14" s="58">
        <f>V15+V17+V19+V20+V21+V22+V23</f>
        <v>750000</v>
      </c>
      <c r="W14" s="58">
        <f>W15+W17+W19+W20+W21+W22+W23</f>
        <v>750000</v>
      </c>
      <c r="X14" s="58">
        <f>X15+X17+X19+X20+X21+X22+X23</f>
        <v>750000</v>
      </c>
      <c r="Y14" s="58">
        <f>Y15+Y17+Y19+Y20+Y21+Y22+Y23</f>
        <v>750000</v>
      </c>
      <c r="Z14" s="58">
        <f>Z15+Z17+Z19+Z20+Z21+Z22+Z23</f>
        <v>750000</v>
      </c>
    </row>
    <row r="15" spans="1:26" ht="27" customHeight="1">
      <c r="A15" s="60" t="s">
        <v>100</v>
      </c>
      <c r="B15" s="61">
        <v>14411180</v>
      </c>
      <c r="C15" s="61">
        <v>10425160</v>
      </c>
      <c r="D15" s="61">
        <v>15861658</v>
      </c>
      <c r="E15" s="61">
        <v>9201048</v>
      </c>
      <c r="F15" s="65">
        <f>SUM(-F12+F25-F22)</f>
        <v>8373827.890000001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</row>
    <row r="16" spans="1:26" ht="40.5" customHeight="1">
      <c r="A16" s="60" t="s">
        <v>101</v>
      </c>
      <c r="B16" s="61">
        <v>1342298</v>
      </c>
      <c r="C16" s="61">
        <v>4292903</v>
      </c>
      <c r="D16" s="61">
        <v>3134809</v>
      </c>
      <c r="E16" s="61">
        <v>1466212</v>
      </c>
      <c r="F16" s="61">
        <v>2632687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</row>
    <row r="17" spans="1:26" ht="25.5" customHeight="1">
      <c r="A17" s="60" t="s">
        <v>102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</row>
    <row r="18" spans="1:26" ht="37.5" customHeight="1">
      <c r="A18" s="60" t="s">
        <v>103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</row>
    <row r="19" spans="1:26" ht="23.25" customHeight="1">
      <c r="A19" s="60" t="s">
        <v>104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</row>
    <row r="20" spans="1:26" ht="21.75" customHeight="1">
      <c r="A20" s="60" t="s">
        <v>105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</row>
    <row r="21" spans="1:26" ht="23.25" customHeight="1">
      <c r="A21" s="60" t="s">
        <v>106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</row>
    <row r="22" spans="1:26" ht="23.25" customHeight="1">
      <c r="A22" s="60" t="s">
        <v>107</v>
      </c>
      <c r="B22" s="61">
        <v>2208400</v>
      </c>
      <c r="C22" s="61">
        <v>4448000</v>
      </c>
      <c r="D22" s="61">
        <v>3064970</v>
      </c>
      <c r="E22" s="61">
        <v>5983046.68</v>
      </c>
      <c r="F22" s="61">
        <f>2000000-908300+219440+639000</f>
        <v>1950140</v>
      </c>
      <c r="G22" s="61">
        <v>750000</v>
      </c>
      <c r="H22" s="61">
        <v>750000</v>
      </c>
      <c r="I22" s="61">
        <v>750000</v>
      </c>
      <c r="J22" s="61">
        <v>750000</v>
      </c>
      <c r="K22" s="61">
        <v>750000</v>
      </c>
      <c r="L22" s="61">
        <v>750000</v>
      </c>
      <c r="M22" s="61">
        <v>750000</v>
      </c>
      <c r="N22" s="61">
        <v>750000</v>
      </c>
      <c r="O22" s="61">
        <v>750000</v>
      </c>
      <c r="P22" s="61">
        <v>750000</v>
      </c>
      <c r="Q22" s="61">
        <v>750000</v>
      </c>
      <c r="R22" s="61">
        <v>750000</v>
      </c>
      <c r="S22" s="61">
        <v>750000</v>
      </c>
      <c r="T22" s="61">
        <v>750000</v>
      </c>
      <c r="U22" s="61">
        <v>750000</v>
      </c>
      <c r="V22" s="61">
        <v>750000</v>
      </c>
      <c r="W22" s="61">
        <v>750000</v>
      </c>
      <c r="X22" s="61">
        <v>750000</v>
      </c>
      <c r="Y22" s="61">
        <v>750000</v>
      </c>
      <c r="Z22" s="61">
        <v>750000</v>
      </c>
    </row>
    <row r="23" spans="1:26" ht="24.75" customHeight="1">
      <c r="A23" s="60" t="s">
        <v>108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</row>
    <row r="24" spans="1:26" ht="20.25" customHeight="1">
      <c r="A24" s="57" t="s">
        <v>109</v>
      </c>
      <c r="B24" s="58">
        <f>B25+B27+B29+B30</f>
        <v>4216859</v>
      </c>
      <c r="C24" s="58">
        <f>C25+C27+C29+C30</f>
        <v>5932009.02</v>
      </c>
      <c r="D24" s="58">
        <f>D25+D27+D29+D30</f>
        <v>6476116.28</v>
      </c>
      <c r="E24" s="59">
        <v>6701134</v>
      </c>
      <c r="F24" s="58">
        <f>F25+F27+F29+F30</f>
        <v>7281140.890000001</v>
      </c>
      <c r="G24" s="58">
        <f>G25+G27+G29+G30</f>
        <v>5854825.4345</v>
      </c>
      <c r="H24" s="58">
        <f>H25+H27+H29+H30</f>
        <v>5854826.2345</v>
      </c>
      <c r="I24" s="58">
        <f>I25+I27+I29+I30</f>
        <v>3452962.2345</v>
      </c>
      <c r="J24" s="58">
        <f>J25+J27+J29+J30</f>
        <v>3452962.2345</v>
      </c>
      <c r="K24" s="58">
        <f>K25+K27+K29+K30</f>
        <v>3452962.2345</v>
      </c>
      <c r="L24" s="58">
        <f>L25+L27+L29+L30</f>
        <v>3452962.2345</v>
      </c>
      <c r="M24" s="58">
        <f>M25+M27+M29+M30</f>
        <v>3452971.2345</v>
      </c>
      <c r="N24" s="58">
        <f>N25+N27+N29+N30</f>
        <v>2438018.1245</v>
      </c>
      <c r="O24" s="58">
        <f>O25+O27+O29+O30</f>
        <v>890539.3945</v>
      </c>
      <c r="P24" s="58">
        <f>P25+P27+P29+P30</f>
        <v>890539.3945</v>
      </c>
      <c r="Q24" s="58">
        <f>Q25+Q27+Q29+Q30</f>
        <v>890539.3945</v>
      </c>
      <c r="R24" s="58">
        <f>R25+R27+R29+R30</f>
        <v>890539.3945</v>
      </c>
      <c r="S24" s="58">
        <f>S25+S27+S29+S30</f>
        <v>890539.3945</v>
      </c>
      <c r="T24" s="58">
        <f>T25+T27+T29+T30</f>
        <v>890539.3945</v>
      </c>
      <c r="U24" s="58">
        <f>U25+U27+U29+U30</f>
        <v>890539.3945</v>
      </c>
      <c r="V24" s="58">
        <f>V25+V27+V29+V30</f>
        <v>890539.3945</v>
      </c>
      <c r="W24" s="58">
        <f>W25+W27+W29+W30</f>
        <v>890539.3945</v>
      </c>
      <c r="X24" s="58">
        <f>X25+X27+X29+X30</f>
        <v>890539.3945</v>
      </c>
      <c r="Y24" s="58">
        <f>Y25+Y27+Y29+Y30</f>
        <v>890551.3945</v>
      </c>
      <c r="Z24" s="58">
        <f>Z25+Z27+Z29+Z30</f>
        <v>418691.39450000005</v>
      </c>
    </row>
    <row r="25" spans="1:27" ht="25.5" customHeight="1">
      <c r="A25" s="60" t="s">
        <v>110</v>
      </c>
      <c r="B25" s="61">
        <v>4216859</v>
      </c>
      <c r="C25" s="61">
        <v>5932009.02</v>
      </c>
      <c r="D25" s="67">
        <f>SUM(D67:D69)</f>
        <v>6476116.28</v>
      </c>
      <c r="E25" s="68">
        <v>6701134</v>
      </c>
      <c r="F25" s="67">
        <f>SUM(F67:F69)</f>
        <v>7281140.890000001</v>
      </c>
      <c r="G25" s="67">
        <f>SUM(G67:G69)</f>
        <v>5854825.4345</v>
      </c>
      <c r="H25" s="67">
        <f>SUM(H67:H69)</f>
        <v>5854826.2345</v>
      </c>
      <c r="I25" s="67">
        <f>SUM(I67:I69)</f>
        <v>3452962.2345</v>
      </c>
      <c r="J25" s="67">
        <f>SUM(J67:J69)</f>
        <v>3452962.2345</v>
      </c>
      <c r="K25" s="67">
        <f>SUM(K67:K69)</f>
        <v>3452962.2345</v>
      </c>
      <c r="L25" s="67">
        <f>SUM(L67:L69)</f>
        <v>3452962.2345</v>
      </c>
      <c r="M25" s="67">
        <f>SUM(M67:M69)</f>
        <v>3452971.2345</v>
      </c>
      <c r="N25" s="67">
        <f>SUM(N67:N69)</f>
        <v>2438018.1245</v>
      </c>
      <c r="O25" s="67">
        <f>SUM(O67:O69)</f>
        <v>890539.3945</v>
      </c>
      <c r="P25" s="67">
        <f>SUM(P67:P69)</f>
        <v>890539.3945</v>
      </c>
      <c r="Q25" s="67">
        <f>SUM(Q67:Q69)</f>
        <v>890539.3945</v>
      </c>
      <c r="R25" s="67">
        <f>SUM(R67:R69)</f>
        <v>890539.3945</v>
      </c>
      <c r="S25" s="67">
        <f>SUM(S67:S69)</f>
        <v>890539.3945</v>
      </c>
      <c r="T25" s="67">
        <f>SUM(T67:T69)</f>
        <v>890539.3945</v>
      </c>
      <c r="U25" s="67">
        <f>SUM(U67:U69)</f>
        <v>890539.3945</v>
      </c>
      <c r="V25" s="67">
        <f>SUM(V67:V69)</f>
        <v>890539.3945</v>
      </c>
      <c r="W25" s="67">
        <f>SUM(W67:W69)</f>
        <v>890539.3945</v>
      </c>
      <c r="X25" s="67">
        <f>SUM(X67:X69)</f>
        <v>890539.3945</v>
      </c>
      <c r="Y25" s="67">
        <f>SUM(Y67:Y69)</f>
        <v>890551.3945</v>
      </c>
      <c r="Z25" s="67">
        <f>SUM(Z67:Z69)</f>
        <v>418691.39450000005</v>
      </c>
      <c r="AA25" s="69"/>
    </row>
    <row r="26" spans="1:28" ht="48" customHeight="1">
      <c r="A26" s="60" t="s">
        <v>111</v>
      </c>
      <c r="B26" s="61">
        <v>1443268</v>
      </c>
      <c r="C26" s="61">
        <v>1189634</v>
      </c>
      <c r="D26" s="63">
        <f>SUM(D74:D77)</f>
        <v>1661049</v>
      </c>
      <c r="E26" s="61">
        <v>1974529.9</v>
      </c>
      <c r="F26" s="63">
        <f>SUM(F74:F77)</f>
        <v>1245956.9</v>
      </c>
      <c r="G26" s="63">
        <f>SUM(G74:G77)</f>
        <v>1215435.25</v>
      </c>
      <c r="H26" s="63">
        <f>SUM(H74:H77)</f>
        <v>1215435.25</v>
      </c>
      <c r="I26" s="63">
        <f>SUM(I74:I77)</f>
        <v>991718.25</v>
      </c>
      <c r="J26" s="63">
        <f>SUM(J74:J77)</f>
        <v>991718.25</v>
      </c>
      <c r="K26" s="63">
        <f>SUM(K74:K77)</f>
        <v>991718.25</v>
      </c>
      <c r="L26" s="63">
        <f>SUM(L74:L77)</f>
        <v>991718.25</v>
      </c>
      <c r="M26" s="63">
        <f>SUM(M74:M77)</f>
        <v>991721.25</v>
      </c>
      <c r="N26" s="63">
        <f>SUM(N74:N77)</f>
        <v>520303.25</v>
      </c>
      <c r="O26" s="63">
        <f>SUM(O74:O77)</f>
        <v>206822.35</v>
      </c>
      <c r="P26" s="63">
        <f>SUM(P74:P77)</f>
        <v>206822.35</v>
      </c>
      <c r="Q26" s="63">
        <f>SUM(Q74:Q77)</f>
        <v>206822.35</v>
      </c>
      <c r="R26" s="63">
        <f>SUM(R74:R77)</f>
        <v>206822.35</v>
      </c>
      <c r="S26" s="63">
        <f>SUM(S74:S77)</f>
        <v>206822.35</v>
      </c>
      <c r="T26" s="63">
        <f>SUM(T74:T77)</f>
        <v>206822.35</v>
      </c>
      <c r="U26" s="63">
        <f>SUM(U74:U77)</f>
        <v>206822.35</v>
      </c>
      <c r="V26" s="63">
        <f>SUM(V74:V77)</f>
        <v>206822.35</v>
      </c>
      <c r="W26" s="63">
        <f>SUM(W74:W77)</f>
        <v>206822.35</v>
      </c>
      <c r="X26" s="63">
        <f>SUM(X74:X77)</f>
        <v>206822.35</v>
      </c>
      <c r="Y26" s="63">
        <f>SUM(Y74:Y77)</f>
        <v>206868.35</v>
      </c>
      <c r="Z26" s="63">
        <f>SUM(Z74:Z77)</f>
        <v>131634.35</v>
      </c>
      <c r="AB26" s="5"/>
    </row>
    <row r="27" spans="1:26" ht="20.25" customHeight="1">
      <c r="A27" s="60" t="s">
        <v>112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</row>
    <row r="28" spans="1:26" ht="48" customHeight="1">
      <c r="A28" s="60" t="s">
        <v>113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</row>
    <row r="29" spans="1:26" ht="27" customHeight="1">
      <c r="A29" s="60" t="s">
        <v>114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</row>
    <row r="30" spans="1:26" ht="12.75">
      <c r="A30" s="60" t="s">
        <v>115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</row>
    <row r="31" spans="1:28" ht="27" customHeight="1">
      <c r="A31" s="57" t="s">
        <v>116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B31" t="s">
        <v>117</v>
      </c>
    </row>
    <row r="32" spans="1:26" ht="27" customHeight="1">
      <c r="A32" s="57" t="s">
        <v>118</v>
      </c>
      <c r="B32" s="70">
        <f>SUM(B33:B34)</f>
        <v>62867</v>
      </c>
      <c r="C32" s="70">
        <f>SUM(C33:C34)</f>
        <v>90829</v>
      </c>
      <c r="D32" s="70">
        <f>SUM(D33:D34)</f>
        <v>480000</v>
      </c>
      <c r="E32" s="71">
        <v>348000</v>
      </c>
      <c r="F32" s="70">
        <f>SUM(F33:F34)</f>
        <v>192000</v>
      </c>
      <c r="G32" s="70">
        <f>SUM(G33:G34)</f>
        <v>0</v>
      </c>
      <c r="H32" s="70">
        <f>SUM(H33:H34)</f>
        <v>0</v>
      </c>
      <c r="I32" s="70">
        <f>SUM(I33:I34)</f>
        <v>0</v>
      </c>
      <c r="J32" s="70">
        <f>SUM(J33:J34)</f>
        <v>0</v>
      </c>
      <c r="K32" s="70">
        <f>SUM(K33:K34)</f>
        <v>0</v>
      </c>
      <c r="L32" s="70">
        <f>SUM(L33:L34)</f>
        <v>0</v>
      </c>
      <c r="M32" s="70">
        <f>SUM(M33:M34)</f>
        <v>0</v>
      </c>
      <c r="N32" s="70">
        <f>SUM(N33:N34)</f>
        <v>0</v>
      </c>
      <c r="O32" s="70">
        <f>SUM(O33:O34)</f>
        <v>0</v>
      </c>
      <c r="P32" s="70">
        <f>SUM(P33:P34)</f>
        <v>0</v>
      </c>
      <c r="Q32" s="70">
        <f>SUM(Q33:Q34)</f>
        <v>0</v>
      </c>
      <c r="R32" s="70">
        <f>SUM(R33:R34)</f>
        <v>0</v>
      </c>
      <c r="S32" s="70">
        <f>SUM(S33:S34)</f>
        <v>0</v>
      </c>
      <c r="T32" s="70">
        <f>SUM(T33:T34)</f>
        <v>0</v>
      </c>
      <c r="U32" s="70">
        <f>SUM(U33:U34)</f>
        <v>0</v>
      </c>
      <c r="V32" s="70">
        <f>SUM(V33:V34)</f>
        <v>0</v>
      </c>
      <c r="W32" s="70">
        <f>SUM(W33:W34)</f>
        <v>0</v>
      </c>
      <c r="X32" s="70">
        <f>SUM(X33:X34)</f>
        <v>0</v>
      </c>
      <c r="Y32" s="70">
        <f>SUM(Y33:Y34)</f>
        <v>0</v>
      </c>
      <c r="Z32" s="70">
        <f>SUM(Z33:Z34)</f>
        <v>0</v>
      </c>
    </row>
    <row r="33" spans="1:26" ht="51.75" customHeight="1">
      <c r="A33" s="60" t="s">
        <v>119</v>
      </c>
      <c r="B33" s="61">
        <v>62867</v>
      </c>
      <c r="C33" s="61">
        <v>90829</v>
      </c>
      <c r="D33" s="61">
        <v>480000</v>
      </c>
      <c r="E33" s="61">
        <v>348000</v>
      </c>
      <c r="F33" s="61">
        <v>192000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</row>
    <row r="34" spans="1:26" ht="59.25" customHeight="1">
      <c r="A34" s="60" t="s">
        <v>120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</row>
    <row r="35" spans="1:26" ht="46.5" customHeight="1">
      <c r="A35" s="57" t="s">
        <v>121</v>
      </c>
      <c r="B35" s="58">
        <f>B36+B37+B38+B39+B40+B41</f>
        <v>3625932</v>
      </c>
      <c r="C35" s="58">
        <f>C36+C37+C38+C39+C40+C41</f>
        <v>5907978.02</v>
      </c>
      <c r="D35" s="58">
        <f>D36+D37+D38+D39+D40+D41</f>
        <v>6546491.87</v>
      </c>
      <c r="E35" s="59">
        <v>6725331.34</v>
      </c>
      <c r="F35" s="58">
        <f>F36+F37+F38+F39+F40+F41</f>
        <v>8427183.99</v>
      </c>
      <c r="G35" s="58">
        <f>G36+G37+G38+G39+G40+G41</f>
        <v>6785728.260430001</v>
      </c>
      <c r="H35" s="58">
        <f>H36+H37+H38+H39+H40+H41</f>
        <v>6434439.48636</v>
      </c>
      <c r="I35" s="58">
        <f>I36+I37+I38+I39+I40+I41</f>
        <v>4049114.75229</v>
      </c>
      <c r="J35" s="58">
        <f>J36+J37+J38+J39+J40+J41</f>
        <v>3841937.01822</v>
      </c>
      <c r="K35" s="58">
        <f>K36+K37+K38+K39+K40+K41</f>
        <v>3634759.28415</v>
      </c>
      <c r="L35" s="58">
        <f>L36+L37+L38+L39+L40+L41</f>
        <v>3427581.5500800004</v>
      </c>
      <c r="M35" s="58">
        <f>M36+M37+M38+M39+M40+M41</f>
        <v>3220409.27601</v>
      </c>
      <c r="N35" s="58">
        <f>N36+N37+N38+N39+N40+N41</f>
        <v>2530593.07854</v>
      </c>
      <c r="O35" s="58">
        <f>O36+O37+O38+O39+O40+O41</f>
        <v>1243162.8848700006</v>
      </c>
      <c r="P35" s="58">
        <f>P36+P37+P38+P39+P40+P41</f>
        <v>1189730.5212000005</v>
      </c>
      <c r="Q35" s="58">
        <f>Q36+Q37+Q38+Q39+Q40+Q41</f>
        <v>1136298.1575300004</v>
      </c>
      <c r="R35" s="58">
        <f>R36+R37+R38+R39+R40+R41</f>
        <v>1082865.7938600006</v>
      </c>
      <c r="S35" s="58">
        <f>S36+S37+S38+S39+S40+S41</f>
        <v>1029433.4301900005</v>
      </c>
      <c r="T35" s="58">
        <f>T36+T37+T38+T39+T40+T41</f>
        <v>976001.0665200005</v>
      </c>
      <c r="U35" s="58">
        <f>U36+U37+U38+U39+U40+U41</f>
        <v>922568.7028500005</v>
      </c>
      <c r="V35" s="58">
        <f>V36+V37+V38+V39+V40+V41</f>
        <v>869136.3391800005</v>
      </c>
      <c r="W35" s="58">
        <f>W36+W37+W38+W39+W40+W41</f>
        <v>815703.9755100005</v>
      </c>
      <c r="X35" s="58">
        <f>X36+X37+X38+X39+X40+X41</f>
        <v>762271.6118400005</v>
      </c>
      <c r="Y35" s="58">
        <f>Y36+Y37+Y38+Y39+Y40+Y41</f>
        <v>708804.5281700004</v>
      </c>
      <c r="Z35" s="58">
        <f>Z36+Z37+Z38+Z39+Z40+Z41</f>
        <v>287057.0445000001</v>
      </c>
    </row>
    <row r="36" spans="1:26" ht="27" customHeight="1">
      <c r="A36" s="60" t="s">
        <v>122</v>
      </c>
      <c r="B36" s="58">
        <f>B25-B26</f>
        <v>2773591</v>
      </c>
      <c r="C36" s="58">
        <f>C25-C26</f>
        <v>4742375.02</v>
      </c>
      <c r="D36" s="58">
        <f>D25-D26</f>
        <v>4815067.28</v>
      </c>
      <c r="E36" s="59">
        <v>4726604.1</v>
      </c>
      <c r="F36" s="58">
        <f>F25-F26</f>
        <v>6035183.99</v>
      </c>
      <c r="G36" s="58">
        <f>G25-G26</f>
        <v>4639390.1845</v>
      </c>
      <c r="H36" s="58">
        <f>H25-H26</f>
        <v>4639390.9845</v>
      </c>
      <c r="I36" s="58">
        <f>I25-I26</f>
        <v>2461243.9845</v>
      </c>
      <c r="J36" s="58">
        <f>J25-J26</f>
        <v>2461243.9845</v>
      </c>
      <c r="K36" s="58">
        <f>K25-K26</f>
        <v>2461243.9845</v>
      </c>
      <c r="L36" s="58">
        <f>L25-L26</f>
        <v>2461243.9845</v>
      </c>
      <c r="M36" s="58">
        <f>M25-M26</f>
        <v>2461249.9845</v>
      </c>
      <c r="N36" s="58">
        <f>N25-N26</f>
        <v>1917714.8745</v>
      </c>
      <c r="O36" s="58">
        <f>O25-O26</f>
        <v>683717.0445000001</v>
      </c>
      <c r="P36" s="58">
        <f>P25-P26</f>
        <v>683717.0445000001</v>
      </c>
      <c r="Q36" s="58">
        <f>Q25-Q26</f>
        <v>683717.0445000001</v>
      </c>
      <c r="R36" s="58">
        <f>R25-R26</f>
        <v>683717.0445000001</v>
      </c>
      <c r="S36" s="58">
        <f>S25-S26</f>
        <v>683717.0445000001</v>
      </c>
      <c r="T36" s="58">
        <f>T25-T26</f>
        <v>683717.0445000001</v>
      </c>
      <c r="U36" s="58">
        <f>U25-U26</f>
        <v>683717.0445000001</v>
      </c>
      <c r="V36" s="58">
        <f>V25-V26</f>
        <v>683717.0445000001</v>
      </c>
      <c r="W36" s="58">
        <f>W25-W26</f>
        <v>683717.0445000001</v>
      </c>
      <c r="X36" s="58">
        <f>X25-X26</f>
        <v>683717.0445000001</v>
      </c>
      <c r="Y36" s="58">
        <f>Y25-Y26</f>
        <v>683683.0445000001</v>
      </c>
      <c r="Z36" s="58">
        <f>Z25-Z26</f>
        <v>287057.0445000001</v>
      </c>
    </row>
    <row r="37" spans="1:26" ht="27" customHeight="1">
      <c r="A37" s="60" t="s">
        <v>123</v>
      </c>
      <c r="B37" s="61">
        <v>789474</v>
      </c>
      <c r="C37" s="61">
        <v>1074774</v>
      </c>
      <c r="D37" s="61">
        <v>1251424.59</v>
      </c>
      <c r="E37" s="61">
        <v>1650727.24</v>
      </c>
      <c r="F37" s="61">
        <v>2200000</v>
      </c>
      <c r="G37" s="63">
        <f>SUM(G43*0.06)</f>
        <v>2146338.07593</v>
      </c>
      <c r="H37" s="63">
        <f>SUM(H43*0.06)</f>
        <v>1795048.5018600002</v>
      </c>
      <c r="I37" s="63">
        <f>SUM(I43*0.06)</f>
        <v>1587870.7677900002</v>
      </c>
      <c r="J37" s="63">
        <f>SUM(J43*0.06)</f>
        <v>1380693.0337200004</v>
      </c>
      <c r="K37" s="63">
        <f>SUM(K43*0.06)</f>
        <v>1173515.2996500004</v>
      </c>
      <c r="L37" s="63">
        <f>SUM(L43*0.06)</f>
        <v>966337.5655800004</v>
      </c>
      <c r="M37" s="63">
        <f>SUM(M43*0.06)</f>
        <v>759159.2915100005</v>
      </c>
      <c r="N37" s="63">
        <f>SUM(N43*0.06)</f>
        <v>612878.2040400004</v>
      </c>
      <c r="O37" s="63">
        <f>SUM(O43*0.06)</f>
        <v>559445.8403700005</v>
      </c>
      <c r="P37" s="63">
        <f>SUM(P43*0.06)</f>
        <v>506013.47670000046</v>
      </c>
      <c r="Q37" s="63">
        <f>SUM(Q43*0.06)</f>
        <v>452581.1130300004</v>
      </c>
      <c r="R37" s="63">
        <f>SUM(R43*0.06)</f>
        <v>399148.7493600004</v>
      </c>
      <c r="S37" s="63">
        <f>SUM(S43*0.06)</f>
        <v>345716.3856900004</v>
      </c>
      <c r="T37" s="63">
        <f>SUM(T43*0.06)</f>
        <v>292284.0220200004</v>
      </c>
      <c r="U37" s="63">
        <f>SUM(U43*0.06)</f>
        <v>238851.65835000036</v>
      </c>
      <c r="V37" s="63">
        <f>SUM(V43*0.06)</f>
        <v>185419.29468000037</v>
      </c>
      <c r="W37" s="63">
        <f>SUM(W43*0.06)</f>
        <v>131986.93101000038</v>
      </c>
      <c r="X37" s="63">
        <f>SUM(X43*0.06)</f>
        <v>78554.56734000039</v>
      </c>
      <c r="Y37" s="63">
        <f>SUM(Y43*0.06)</f>
        <v>25121.48367000038</v>
      </c>
      <c r="Z37" s="63">
        <f>SUM(Z43*0.06)</f>
        <v>0</v>
      </c>
    </row>
    <row r="38" spans="1:26" ht="27" customHeight="1">
      <c r="A38" s="60" t="s">
        <v>124</v>
      </c>
      <c r="B38" s="58">
        <f>B27-B28</f>
        <v>0</v>
      </c>
      <c r="C38" s="58">
        <f>C27-C28</f>
        <v>0</v>
      </c>
      <c r="D38" s="58">
        <f>D27-D28</f>
        <v>0</v>
      </c>
      <c r="E38" s="59">
        <v>0</v>
      </c>
      <c r="F38" s="58">
        <f>F27-F28</f>
        <v>0</v>
      </c>
      <c r="G38" s="58">
        <f>G27-G28</f>
        <v>0</v>
      </c>
      <c r="H38" s="58">
        <f>H27-H28</f>
        <v>0</v>
      </c>
      <c r="I38" s="58">
        <f>I27-I28</f>
        <v>0</v>
      </c>
      <c r="J38" s="58">
        <f>J27-J28</f>
        <v>0</v>
      </c>
      <c r="K38" s="58">
        <f>K27-K28</f>
        <v>0</v>
      </c>
      <c r="L38" s="58">
        <f>L27-L28</f>
        <v>0</v>
      </c>
      <c r="M38" s="58">
        <f>M27-M28</f>
        <v>0</v>
      </c>
      <c r="N38" s="58">
        <f>N27-N28</f>
        <v>0</v>
      </c>
      <c r="O38" s="58">
        <f>O27-O28</f>
        <v>0</v>
      </c>
      <c r="P38" s="58">
        <f>P27-P28</f>
        <v>0</v>
      </c>
      <c r="Q38" s="58">
        <f>Q27-Q28</f>
        <v>0</v>
      </c>
      <c r="R38" s="58">
        <f>R27-R28</f>
        <v>0</v>
      </c>
      <c r="S38" s="58">
        <f>S27-S28</f>
        <v>0</v>
      </c>
      <c r="T38" s="58">
        <f>T27-T28</f>
        <v>0</v>
      </c>
      <c r="U38" s="58">
        <f>U27-U28</f>
        <v>0</v>
      </c>
      <c r="V38" s="58">
        <f>V27-V28</f>
        <v>0</v>
      </c>
      <c r="W38" s="58">
        <f>W27-W28</f>
        <v>0</v>
      </c>
      <c r="X38" s="58">
        <f>X27-X28</f>
        <v>0</v>
      </c>
      <c r="Y38" s="58">
        <f>Y27-Y28</f>
        <v>0</v>
      </c>
      <c r="Z38" s="58">
        <f>Z27-Z28</f>
        <v>0</v>
      </c>
    </row>
    <row r="39" spans="1:26" ht="27" customHeight="1">
      <c r="A39" s="60" t="s">
        <v>125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</row>
    <row r="40" spans="1:26" ht="60" customHeight="1">
      <c r="A40" s="60" t="s">
        <v>126</v>
      </c>
      <c r="B40" s="58">
        <f>B33-B34</f>
        <v>62867</v>
      </c>
      <c r="C40" s="58">
        <f>C33-C34</f>
        <v>90829</v>
      </c>
      <c r="D40" s="58">
        <f>D33-D34</f>
        <v>480000</v>
      </c>
      <c r="E40" s="59">
        <v>348000</v>
      </c>
      <c r="F40" s="58">
        <f>F33-F34</f>
        <v>192000</v>
      </c>
      <c r="G40" s="58">
        <f>G33-G34</f>
        <v>0</v>
      </c>
      <c r="H40" s="58">
        <f>H33-H34</f>
        <v>0</v>
      </c>
      <c r="I40" s="58">
        <f>I33-I34</f>
        <v>0</v>
      </c>
      <c r="J40" s="58">
        <f>J33-J34</f>
        <v>0</v>
      </c>
      <c r="K40" s="58">
        <f>K33-K34</f>
        <v>0</v>
      </c>
      <c r="L40" s="58">
        <f>L33-L34</f>
        <v>0</v>
      </c>
      <c r="M40" s="58">
        <f>M33-M34</f>
        <v>0</v>
      </c>
      <c r="N40" s="58">
        <f>N33-N34</f>
        <v>0</v>
      </c>
      <c r="O40" s="58">
        <f>O33-O34</f>
        <v>0</v>
      </c>
      <c r="P40" s="58">
        <f>P33-P34</f>
        <v>0</v>
      </c>
      <c r="Q40" s="58">
        <f>Q33-Q34</f>
        <v>0</v>
      </c>
      <c r="R40" s="58">
        <f>R33-R34</f>
        <v>0</v>
      </c>
      <c r="S40" s="58">
        <f>S33-S34</f>
        <v>0</v>
      </c>
      <c r="T40" s="58">
        <f>T33-T34</f>
        <v>0</v>
      </c>
      <c r="U40" s="58">
        <f>U33-U34</f>
        <v>0</v>
      </c>
      <c r="V40" s="58">
        <f>V33-V34</f>
        <v>0</v>
      </c>
      <c r="W40" s="58">
        <f>W33-W34</f>
        <v>0</v>
      </c>
      <c r="X40" s="58">
        <f>X33-X34</f>
        <v>0</v>
      </c>
      <c r="Y40" s="58">
        <f>Y33-Y34</f>
        <v>0</v>
      </c>
      <c r="Z40" s="58">
        <f>Z33-Z34</f>
        <v>0</v>
      </c>
    </row>
    <row r="41" spans="1:26" ht="48" customHeight="1">
      <c r="A41" s="60" t="s">
        <v>127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</row>
    <row r="42" spans="1:26" ht="27" customHeight="1">
      <c r="A42" s="57" t="s">
        <v>128</v>
      </c>
      <c r="B42" s="72">
        <f>B35/B5</f>
        <v>0.06405910593329357</v>
      </c>
      <c r="C42" s="72">
        <f>C35/C5</f>
        <v>0.0900078679479114</v>
      </c>
      <c r="D42" s="72">
        <f>D35/D5</f>
        <v>0.086062524227661</v>
      </c>
      <c r="E42" s="72">
        <f>E35/E5</f>
        <v>0.09254092257301441</v>
      </c>
      <c r="F42" s="73">
        <f>F35/F5</f>
        <v>0.10497156146127473</v>
      </c>
      <c r="G42" s="73">
        <f>G35/G5</f>
        <v>0.1004158886295933</v>
      </c>
      <c r="H42" s="73">
        <f>H35/H5</f>
        <v>0.0991152815490468</v>
      </c>
      <c r="I42" s="73">
        <f>I35/I5</f>
        <v>0.0604999396680269</v>
      </c>
      <c r="J42" s="73">
        <f>J35/J5</f>
        <v>0.055681385699220716</v>
      </c>
      <c r="K42" s="73">
        <f>K35/K5</f>
        <v>0.0510975836649714</v>
      </c>
      <c r="L42" s="73">
        <f>L35/L5</f>
        <v>0.04673878291030915</v>
      </c>
      <c r="M42" s="73">
        <f>M35/M5</f>
        <v>0.0425956788150709</v>
      </c>
      <c r="N42" s="73">
        <f>N35/N5</f>
        <v>0.03246696113955847</v>
      </c>
      <c r="O42" s="72">
        <f>O35/O5</f>
        <v>0.015470779274913587</v>
      </c>
      <c r="P42" s="72">
        <f>P35/P5</f>
        <v>0.014361426006389096</v>
      </c>
      <c r="Q42" s="72">
        <f>Q35/Q5</f>
        <v>0.01330472953470902</v>
      </c>
      <c r="R42" s="72">
        <f>R35/R5</f>
        <v>0.012298528381162615</v>
      </c>
      <c r="S42" s="72">
        <f>S35/S5</f>
        <v>0.011340743376496867</v>
      </c>
      <c r="T42" s="72">
        <f>T35/T5</f>
        <v>0.010429374667411978</v>
      </c>
      <c r="U42" s="72">
        <f>U35/U5</f>
        <v>0.009562498828593884</v>
      </c>
      <c r="V42" s="72">
        <f>V35/V5</f>
        <v>0.00873826607664572</v>
      </c>
      <c r="W42" s="72">
        <f>W35/W5</f>
        <v>0.007954897582403357</v>
      </c>
      <c r="X42" s="72">
        <f>X35/X5</f>
        <v>0.007210682878239371</v>
      </c>
      <c r="Y42" s="72">
        <f>Y35/Y5</f>
        <v>0.006503658782596449</v>
      </c>
      <c r="Z42" s="72">
        <f>Z35/Z5</f>
        <v>0.002554842116202293</v>
      </c>
    </row>
    <row r="43" spans="1:26" ht="39" customHeight="1">
      <c r="A43" s="57" t="s">
        <v>129</v>
      </c>
      <c r="B43" s="58">
        <f>B44+B46+B48+B49</f>
        <v>24155833</v>
      </c>
      <c r="C43" s="58">
        <f>C44+C46+C48+C49</f>
        <v>28648983.98</v>
      </c>
      <c r="D43" s="58">
        <f>D44+D46+D48+D49</f>
        <v>38034525.7</v>
      </c>
      <c r="E43" s="59">
        <v>40534439.7</v>
      </c>
      <c r="F43" s="74">
        <f>F44+F46+F48+F49</f>
        <v>41627126.7</v>
      </c>
      <c r="G43" s="74">
        <f>G44+G46+G48+G49</f>
        <v>35772301.2655</v>
      </c>
      <c r="H43" s="74">
        <f>H44+H46+H48+H49</f>
        <v>29917475.031000003</v>
      </c>
      <c r="I43" s="74">
        <f>I44+I46+I48+I49</f>
        <v>26464512.796500005</v>
      </c>
      <c r="J43" s="74">
        <f>J44+J46+J48+J49</f>
        <v>23011550.562000006</v>
      </c>
      <c r="K43" s="74">
        <f>K44+K46+K48+K49</f>
        <v>19558588.327500008</v>
      </c>
      <c r="L43" s="74">
        <f>L44+L46+L48+L49</f>
        <v>16105626.093000008</v>
      </c>
      <c r="M43" s="74">
        <f>M44+M46+M48+M49</f>
        <v>12652654.858500008</v>
      </c>
      <c r="N43" s="74">
        <f>N44+N46+N48+N49</f>
        <v>10214636.734000009</v>
      </c>
      <c r="O43" s="58">
        <f>O44+O46+O48+O49</f>
        <v>9324097.339500008</v>
      </c>
      <c r="P43" s="58">
        <f>P44+P46+P48+P49</f>
        <v>8433557.945000008</v>
      </c>
      <c r="Q43" s="58">
        <f>Q44+Q46+Q48+Q49</f>
        <v>7543018.550500007</v>
      </c>
      <c r="R43" s="58">
        <f>R44+R46+R48+R49</f>
        <v>6652479.156000007</v>
      </c>
      <c r="S43" s="58">
        <f>S44+S46+S48+S49</f>
        <v>5761939.761500007</v>
      </c>
      <c r="T43" s="58">
        <f>T44+T46+T48+T49</f>
        <v>4871400.367000006</v>
      </c>
      <c r="U43" s="58">
        <f>U44+U46+U48+U49</f>
        <v>3980860.972500006</v>
      </c>
      <c r="V43" s="58">
        <f>V44+V46+V48+V49</f>
        <v>3090321.5780000063</v>
      </c>
      <c r="W43" s="58">
        <f>W44+W46+W48+W49</f>
        <v>2199782.1835000063</v>
      </c>
      <c r="X43" s="58">
        <f>X44+X46+X48+X49</f>
        <v>1309242.7890000064</v>
      </c>
      <c r="Y43" s="58">
        <f>Y44+Y46+Y48+Y49</f>
        <v>418691.39450000634</v>
      </c>
      <c r="Z43" s="58">
        <f>Z44+Z46+Z48+Z49</f>
        <v>0</v>
      </c>
    </row>
    <row r="44" spans="1:26" ht="27" customHeight="1">
      <c r="A44" s="60" t="s">
        <v>130</v>
      </c>
      <c r="B44" s="75">
        <v>0</v>
      </c>
      <c r="C44" s="76">
        <f>B44+C17-C27</f>
        <v>0</v>
      </c>
      <c r="D44" s="76">
        <f>C44+D17-D27</f>
        <v>0</v>
      </c>
      <c r="E44" s="75">
        <v>0</v>
      </c>
      <c r="F44" s="76">
        <f>E44+F17-F27</f>
        <v>0</v>
      </c>
      <c r="G44" s="76">
        <f>F44+G17-G27</f>
        <v>0</v>
      </c>
      <c r="H44" s="76">
        <f>G44+H17-H27</f>
        <v>0</v>
      </c>
      <c r="I44" s="76">
        <f>H44+I17-I27</f>
        <v>0</v>
      </c>
      <c r="J44" s="76">
        <f>I44+J17-J27</f>
        <v>0</v>
      </c>
      <c r="K44" s="76">
        <f>J44+K17-K27</f>
        <v>0</v>
      </c>
      <c r="L44" s="76">
        <f>K44+L17-L27</f>
        <v>0</v>
      </c>
      <c r="M44" s="76">
        <f>L44+M17-M27</f>
        <v>0</v>
      </c>
      <c r="N44" s="76">
        <f>M44+N17-N27</f>
        <v>0</v>
      </c>
      <c r="O44" s="76">
        <f>N44+O17-O27</f>
        <v>0</v>
      </c>
      <c r="P44" s="76">
        <f>O44+P17-P27</f>
        <v>0</v>
      </c>
      <c r="Q44" s="76">
        <f>P44+Q17-Q27</f>
        <v>0</v>
      </c>
      <c r="R44" s="76">
        <f>Q44+R17-R27</f>
        <v>0</v>
      </c>
      <c r="S44" s="76">
        <f>R44+S17-S27</f>
        <v>0</v>
      </c>
      <c r="T44" s="76">
        <f>S44+T17-T27</f>
        <v>0</v>
      </c>
      <c r="U44" s="76">
        <f>T44+U17-U27</f>
        <v>0</v>
      </c>
      <c r="V44" s="76">
        <f>U44+V17-V27</f>
        <v>0</v>
      </c>
      <c r="W44" s="76">
        <f>V44+W17-W27</f>
        <v>0</v>
      </c>
      <c r="X44" s="76">
        <f>W44+X17-X27</f>
        <v>0</v>
      </c>
      <c r="Y44" s="76">
        <f>X44+Y17-Y27</f>
        <v>0</v>
      </c>
      <c r="Z44" s="76">
        <f>Y44+Z17-Z27</f>
        <v>0</v>
      </c>
    </row>
    <row r="45" spans="1:26" ht="48" customHeight="1">
      <c r="A45" s="60" t="s">
        <v>131</v>
      </c>
      <c r="B45" s="75">
        <v>0</v>
      </c>
      <c r="C45" s="76">
        <f>B45+C18-C28</f>
        <v>0</v>
      </c>
      <c r="D45" s="76">
        <f>C45+D18-D28</f>
        <v>0</v>
      </c>
      <c r="E45" s="75">
        <v>0</v>
      </c>
      <c r="F45" s="76">
        <f>E45+F18-F28</f>
        <v>0</v>
      </c>
      <c r="G45" s="76">
        <f>F45+G18-G28</f>
        <v>0</v>
      </c>
      <c r="H45" s="76">
        <f>G45+H18-H28</f>
        <v>0</v>
      </c>
      <c r="I45" s="76">
        <f>H45+I18-I28</f>
        <v>0</v>
      </c>
      <c r="J45" s="76">
        <f>I45+J18-J28</f>
        <v>0</v>
      </c>
      <c r="K45" s="76">
        <f>J45+K18-K28</f>
        <v>0</v>
      </c>
      <c r="L45" s="76">
        <f>K45+L18-L28</f>
        <v>0</v>
      </c>
      <c r="M45" s="76">
        <f>L45+M18-M28</f>
        <v>0</v>
      </c>
      <c r="N45" s="76">
        <f>M45+N18-N28</f>
        <v>0</v>
      </c>
      <c r="O45" s="76">
        <f>N45+O18-O28</f>
        <v>0</v>
      </c>
      <c r="P45" s="76">
        <f>O45+P18-P28</f>
        <v>0</v>
      </c>
      <c r="Q45" s="76">
        <f>P45+Q18-Q28</f>
        <v>0</v>
      </c>
      <c r="R45" s="76">
        <f>Q45+R18-R28</f>
        <v>0</v>
      </c>
      <c r="S45" s="76">
        <f>R45+S18-S28</f>
        <v>0</v>
      </c>
      <c r="T45" s="76">
        <f>S45+T18-T28</f>
        <v>0</v>
      </c>
      <c r="U45" s="76">
        <f>T45+U18-U28</f>
        <v>0</v>
      </c>
      <c r="V45" s="76">
        <f>U45+V18-V28</f>
        <v>0</v>
      </c>
      <c r="W45" s="76">
        <f>V45+W18-W28</f>
        <v>0</v>
      </c>
      <c r="X45" s="76">
        <f>W45+X18-X28</f>
        <v>0</v>
      </c>
      <c r="Y45" s="76">
        <f>X45+Y18-Y28</f>
        <v>0</v>
      </c>
      <c r="Z45" s="76">
        <f>Y45+Z18-Z28</f>
        <v>0</v>
      </c>
    </row>
    <row r="46" spans="1:26" ht="27" customHeight="1">
      <c r="A46" s="60" t="s">
        <v>132</v>
      </c>
      <c r="B46" s="75">
        <v>24155833</v>
      </c>
      <c r="C46" s="76">
        <f>B46+C15-C25-C31</f>
        <v>28648983.98</v>
      </c>
      <c r="D46" s="76">
        <f>C46+D15-D25-D31</f>
        <v>38034525.7</v>
      </c>
      <c r="E46" s="75">
        <v>40534439.7</v>
      </c>
      <c r="F46" s="76">
        <f>E46+F15-F25-F31</f>
        <v>41627126.7</v>
      </c>
      <c r="G46" s="76">
        <f>F46+G15-G25-G31</f>
        <v>35772301.2655</v>
      </c>
      <c r="H46" s="76">
        <f>G46+H15-H25-H31</f>
        <v>29917475.031000003</v>
      </c>
      <c r="I46" s="76">
        <f>H46+I15-I25-I31</f>
        <v>26464512.796500005</v>
      </c>
      <c r="J46" s="76">
        <f>I46+J15-J25-J31</f>
        <v>23011550.562000006</v>
      </c>
      <c r="K46" s="76">
        <f>J46+K15-K25-K31</f>
        <v>19558588.327500008</v>
      </c>
      <c r="L46" s="76">
        <f>K46+L15-L25-L31</f>
        <v>16105626.093000008</v>
      </c>
      <c r="M46" s="76">
        <f>L46+M15-M25-M31</f>
        <v>12652654.858500008</v>
      </c>
      <c r="N46" s="76">
        <f>M46+N15-N25-N31</f>
        <v>10214636.734000009</v>
      </c>
      <c r="O46" s="76">
        <f>N46+O15-O25-O31</f>
        <v>9324097.339500008</v>
      </c>
      <c r="P46" s="76">
        <f>O46+P15-P25-P31</f>
        <v>8433557.945000008</v>
      </c>
      <c r="Q46" s="76">
        <f>P46+Q15-Q25-Q31</f>
        <v>7543018.550500007</v>
      </c>
      <c r="R46" s="76">
        <f>Q46+R15-R25-R31</f>
        <v>6652479.156000007</v>
      </c>
      <c r="S46" s="76">
        <f>R46+S15-S25-S31</f>
        <v>5761939.761500007</v>
      </c>
      <c r="T46" s="76">
        <f>S46+T15-T25-T31</f>
        <v>4871400.367000006</v>
      </c>
      <c r="U46" s="76">
        <f>T46+U15-U25-U31</f>
        <v>3980860.972500006</v>
      </c>
      <c r="V46" s="76">
        <f>U46+V15-V25-V31</f>
        <v>3090321.5780000063</v>
      </c>
      <c r="W46" s="76">
        <f>V46+W15-W25-W31</f>
        <v>2199782.1835000063</v>
      </c>
      <c r="X46" s="76">
        <f>W46+X15-X25-X31</f>
        <v>1309242.7890000064</v>
      </c>
      <c r="Y46" s="76">
        <f>X46+Y15-Y25-Y31</f>
        <v>418691.39450000634</v>
      </c>
      <c r="Z46" s="76">
        <v>0</v>
      </c>
    </row>
    <row r="47" spans="1:26" ht="48" customHeight="1">
      <c r="A47" s="60" t="s">
        <v>133</v>
      </c>
      <c r="B47" s="75">
        <v>4861053</v>
      </c>
      <c r="C47" s="76">
        <f>B47+C16-C26</f>
        <v>7964322</v>
      </c>
      <c r="D47" s="76">
        <f>C47+D16-D26</f>
        <v>9438082</v>
      </c>
      <c r="E47" s="75">
        <v>8929764.1</v>
      </c>
      <c r="F47" s="76">
        <f>E47+F16-F26</f>
        <v>10316494.2</v>
      </c>
      <c r="G47" s="76">
        <f>F47+G16-G26</f>
        <v>9101058.95</v>
      </c>
      <c r="H47" s="76">
        <f>G47+H16-H26</f>
        <v>7885623.699999999</v>
      </c>
      <c r="I47" s="76">
        <f>H47+I16-I26</f>
        <v>6893905.449999999</v>
      </c>
      <c r="J47" s="76">
        <f>I47+J16-J26</f>
        <v>5902187.199999999</v>
      </c>
      <c r="K47" s="76">
        <f>J47+K16-K26</f>
        <v>4910468.949999999</v>
      </c>
      <c r="L47" s="76">
        <f>K47+L16-L26</f>
        <v>3918750.6999999993</v>
      </c>
      <c r="M47" s="76">
        <f>L47+M16-M26</f>
        <v>2927029.4499999993</v>
      </c>
      <c r="N47" s="76">
        <f>M47+N16-N26</f>
        <v>2406726.1999999993</v>
      </c>
      <c r="O47" s="76">
        <f>N47+O16-O26</f>
        <v>2199903.849999999</v>
      </c>
      <c r="P47" s="76">
        <f>O47+P16-P26</f>
        <v>1993081.499999999</v>
      </c>
      <c r="Q47" s="76">
        <f>P47+Q16-Q26</f>
        <v>1786259.149999999</v>
      </c>
      <c r="R47" s="76">
        <f>Q47+R16-R26</f>
        <v>1579436.7999999989</v>
      </c>
      <c r="S47" s="76">
        <f>R47+S16-S26</f>
        <v>1372614.4499999988</v>
      </c>
      <c r="T47" s="76">
        <f>S47+T16-T26</f>
        <v>1165792.0999999987</v>
      </c>
      <c r="U47" s="76">
        <f>T47+U16-U26</f>
        <v>958969.7499999987</v>
      </c>
      <c r="V47" s="76">
        <f>U47+V16-V26</f>
        <v>752147.3999999987</v>
      </c>
      <c r="W47" s="76">
        <f>V47+W16-W26</f>
        <v>545325.0499999988</v>
      </c>
      <c r="X47" s="76">
        <f>W47+X16-X26</f>
        <v>338502.6999999988</v>
      </c>
      <c r="Y47" s="76">
        <f>X47+Y16-Y26</f>
        <v>131634.34999999878</v>
      </c>
      <c r="Z47" s="77">
        <f>Y47+Z16-Z26</f>
        <v>-1.2223608791828156E-09</v>
      </c>
    </row>
    <row r="48" spans="1:26" ht="27" customHeight="1">
      <c r="A48" s="60" t="s">
        <v>134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</row>
    <row r="49" spans="1:26" ht="27" customHeight="1">
      <c r="A49" s="60" t="s">
        <v>135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</row>
    <row r="50" spans="1:26" ht="27" customHeight="1">
      <c r="A50" s="57" t="s">
        <v>136</v>
      </c>
      <c r="B50" s="72">
        <f>(B43-B45-B47)/B5</f>
        <v>0.3408796292869238</v>
      </c>
      <c r="C50" s="72">
        <f>(C43-C45-C47)/C5</f>
        <v>0.31513020490943255</v>
      </c>
      <c r="D50" s="72">
        <f>(D43-D45-D47)/D5</f>
        <v>0.37593907968241225</v>
      </c>
      <c r="E50" s="72">
        <f>(E43-E45-E47)/E5</f>
        <v>0.4348820436919674</v>
      </c>
      <c r="F50" s="73">
        <f>(F43-F45-F47)/F5</f>
        <v>0.39001474131397673</v>
      </c>
      <c r="G50" s="73">
        <f>(G43-G45-G47)/G5</f>
        <v>0.39468372371817173</v>
      </c>
      <c r="H50" s="73">
        <f>(H43-H45-H47)/H5</f>
        <v>0.33937581546114354</v>
      </c>
      <c r="I50" s="73">
        <f>(I43-I45-I47)/I5</f>
        <v>0.292414672382467</v>
      </c>
      <c r="J50" s="73">
        <f>(J43-J45-J47)/J5</f>
        <v>0.24796686044296976</v>
      </c>
      <c r="K50" s="73">
        <f>(K43-K45-K47)/K5</f>
        <v>0.20592381693340406</v>
      </c>
      <c r="L50" s="73">
        <f>(L43-L45-L47)/L5</f>
        <v>0.16618123158444512</v>
      </c>
      <c r="M50" s="73">
        <f>(M43-M45-M47)/M5</f>
        <v>0.128638809750737</v>
      </c>
      <c r="N50" s="73">
        <f>(N43-N45-N47)/N5</f>
        <v>0.10017380116868939</v>
      </c>
      <c r="O50" s="72">
        <f>(O43-O45-O47)/O5</f>
        <v>0.08865839410847322</v>
      </c>
      <c r="P50" s="72">
        <f>(P43-P45-P47)/P5</f>
        <v>0.07774401367585884</v>
      </c>
      <c r="Q50" s="72">
        <f>(Q43-Q45-Q47)/Q5</f>
        <v>0.06740495556776795</v>
      </c>
      <c r="R50" s="72">
        <f>(R43-R45-R47)/R5</f>
        <v>0.05761651697548444</v>
      </c>
      <c r="S50" s="72">
        <f>(S43-S45-S47)/S5</f>
        <v>0.04835495962521471</v>
      </c>
      <c r="T50" s="72">
        <f>(T43-T45-T47)/T5</f>
        <v>0.03959747413494277</v>
      </c>
      <c r="U50" s="72">
        <f>(U43-U45-U47)/U5</f>
        <v>0.0313221456418653</v>
      </c>
      <c r="V50" s="72">
        <f>(V43-V45-V47)/V5</f>
        <v>0.02350792065624933</v>
      </c>
      <c r="W50" s="72">
        <f>(W43-W45-W47)/W5</f>
        <v>0.01613457509906159</v>
      </c>
      <c r="X50" s="72">
        <f>(X43-X45-X47)/X5</f>
        <v>0.009182683482173468</v>
      </c>
      <c r="Y50" s="72">
        <f>(Y43-Y45-Y47)/Y5</f>
        <v>0.0026339011594475725</v>
      </c>
      <c r="Z50" s="72">
        <f>(Z43-Z45-Z47)/Z5</f>
        <v>1.087915839436687E-17</v>
      </c>
    </row>
    <row r="51" spans="1:26" ht="48" customHeight="1">
      <c r="A51" s="57" t="s">
        <v>137</v>
      </c>
      <c r="B51" s="72" t="s">
        <v>14</v>
      </c>
      <c r="C51" s="72" t="s">
        <v>14</v>
      </c>
      <c r="D51" s="78">
        <v>0.104323622108358</v>
      </c>
      <c r="E51" s="72">
        <f>((D6+D8-D10)/D5+(C6+C8-C10)/C5+(B6+B8-B10)/B5)/3</f>
        <v>0.0845167385672977</v>
      </c>
      <c r="F51" s="72">
        <f>((E6+E8-E10)/E5+(D6+D8-D10)/D5+(C6+C8-C10)/C5)/3</f>
        <v>0.09486854270000922</v>
      </c>
      <c r="G51" s="72">
        <f>((F6+F8-F10)/F5+(E6+E8-E10)/E5+(D6+D8-D10)/D5)/3</f>
        <v>0.08466307355192104</v>
      </c>
      <c r="H51" s="72">
        <f>((G6+G8-G10)/G5+(F6+F8-F10)/F5+(E6+E8-E10)/E5)/3</f>
        <v>0.12576084554939218</v>
      </c>
      <c r="I51" s="72">
        <f>((H6+H8-H10)/H5+(G6+G8-G10)/G5+(F6+F8-F10)/F5)/3</f>
        <v>0.1382463841709891</v>
      </c>
      <c r="J51" s="72">
        <f>((I6+I8-I10)/I5+(H6+H8-H10)/H5+(G6+G8-G10)/G5)/3</f>
        <v>0.17618682619366974</v>
      </c>
      <c r="K51" s="72">
        <f>((J6+J8-J10)/J5+(I6+I8-I10)/I5+(H6+H8-H10)/H5)/3</f>
        <v>0.1581027652661199</v>
      </c>
      <c r="L51" s="72">
        <f>((K6+K8-K10)/K5+(J6+J8-J10)/J5+(I6+I8-I10)/I5)/3</f>
        <v>0.15887363770918297</v>
      </c>
      <c r="M51" s="72">
        <f>((L6+L8-L10)/L5+(K6+K8-K10)/K5+(J6+J8-J10)/J5)/3</f>
        <v>0.15964384613112087</v>
      </c>
      <c r="N51" s="72">
        <f>((M6+M8-M10)/M5+(L6+L8-L10)/L5+(K6+K8-K10)/K5)/3</f>
        <v>0.16041339102735794</v>
      </c>
      <c r="O51" s="72">
        <f>((N6+N8-N10)/N5+(M6+M8-M10)/M5+(L6+L8-L10)/L5)/3</f>
        <v>0.16118227289308962</v>
      </c>
      <c r="P51" s="72">
        <f>((O6+O8-O10)/O5+(N6+N8-N10)/N5+(M6+M8-M10)/M5)/3</f>
        <v>0.16195049222328206</v>
      </c>
      <c r="Q51" s="72">
        <f>((P6+P8-P10)/P5+(O6+O8-O10)/O5+(N6+N8-N10)/N5)/3</f>
        <v>0.16271804951267235</v>
      </c>
      <c r="R51" s="72">
        <f>((Q6+Q8-Q10)/Q5+(P6+P8-P10)/P5+(O6+O8-O10)/O5)/3</f>
        <v>0.16348494525576793</v>
      </c>
      <c r="S51" s="72">
        <f>((R6+R8-R10)/R5+(Q6+Q8-Q10)/Q5+(P6+P8-P10)/P5)/3</f>
        <v>0.16425117994684676</v>
      </c>
      <c r="T51" s="72">
        <f>((S6+S8-S10)/S5+(R6+R8-R10)/R5+(Q6+Q8-Q10)/Q5)/3</f>
        <v>0.16501675407995686</v>
      </c>
      <c r="U51" s="72">
        <f>((T6+T8-T10)/T5+(S6+S8-S10)/S5+(R6+R8-R10)/R5)/3</f>
        <v>0.16578166814891643</v>
      </c>
      <c r="V51" s="72">
        <f>((U6+U8-U10)/U5+(T6+T8-T10)/T5+(S6+S8-S10)/S5)/3</f>
        <v>0.16654592264731352</v>
      </c>
      <c r="W51" s="72">
        <f>((V6+V8-V10)/V5+(U6+U8-U10)/U5+(T6+T8-T10)/T5)/3</f>
        <v>0.16730951806850594</v>
      </c>
      <c r="X51" s="72">
        <f>((W6+W8-W10)/W5+(V6+V8-V10)/V5+(U6+U8-U10)/U5)/3</f>
        <v>0.16807245490562098</v>
      </c>
      <c r="Y51" s="72">
        <f>((X6+X8-X10)/X5+(W6+W8-W10)/W5+(V6+V8-V10)/V5)/3</f>
        <v>0.1688347336515552</v>
      </c>
      <c r="Z51" s="72">
        <f>((Y6+Y8-Y10)/Y5+(X6+X8-X10)/X5+(W6+W8-W10)/W5)/3</f>
        <v>0.1695963547989747</v>
      </c>
    </row>
    <row r="52" spans="1:26" ht="48" customHeight="1">
      <c r="A52" s="57" t="s">
        <v>138</v>
      </c>
      <c r="B52" s="72" t="s">
        <v>14</v>
      </c>
      <c r="C52" s="72" t="s">
        <v>14</v>
      </c>
      <c r="D52" s="72" t="str">
        <f>IF(D42&lt;=D51,"TAK","NIE")</f>
        <v>TAK</v>
      </c>
      <c r="E52" s="72" t="str">
        <f>IF(E42&lt;=E51,"TAK","NIE")</f>
        <v>NIE</v>
      </c>
      <c r="F52" s="72" t="str">
        <f>IF(F42&lt;=F51,"TAK","NIE")</f>
        <v>NIE</v>
      </c>
      <c r="G52" s="72" t="str">
        <f>IF(G42&lt;=G51,"TAK","NIE")</f>
        <v>NIE</v>
      </c>
      <c r="H52" s="73" t="str">
        <f>IF(H42&lt;=H51,"TAK","NIE")</f>
        <v>TAK</v>
      </c>
      <c r="I52" s="73" t="str">
        <f>IF(I42&lt;=I51,"TAK","NIE")</f>
        <v>TAK</v>
      </c>
      <c r="J52" s="73" t="str">
        <f>IF(J42&lt;=J51,"TAK","NIE")</f>
        <v>TAK</v>
      </c>
      <c r="K52" s="73" t="str">
        <f>IF(K42&lt;=K51,"TAK","NIE")</f>
        <v>TAK</v>
      </c>
      <c r="L52" s="73" t="str">
        <f>IF(L42&lt;=L51,"TAK","NIE")</f>
        <v>TAK</v>
      </c>
      <c r="M52" s="73" t="str">
        <f>IF(M42&lt;=M51,"TAK","NIE")</f>
        <v>TAK</v>
      </c>
      <c r="N52" s="73" t="str">
        <f>IF(N42&lt;=N51,"TAK","NIE")</f>
        <v>TAK</v>
      </c>
      <c r="O52" s="73" t="str">
        <f>IF(O42&lt;=O51,"TAK","NIE")</f>
        <v>TAK</v>
      </c>
      <c r="P52" s="73" t="str">
        <f>IF(P42&lt;=P51,"TAK","NIE")</f>
        <v>TAK</v>
      </c>
      <c r="Q52" s="72" t="str">
        <f>IF(Q42&lt;=Q51,"TAK","NIE")</f>
        <v>TAK</v>
      </c>
      <c r="R52" s="72" t="str">
        <f>IF(R42&lt;=R51,"TAK","NIE")</f>
        <v>TAK</v>
      </c>
      <c r="S52" s="72" t="str">
        <f>IF(S42&lt;=S51,"TAK","NIE")</f>
        <v>TAK</v>
      </c>
      <c r="T52" s="72" t="str">
        <f>IF(T42&lt;=T51,"TAK","NIE")</f>
        <v>TAK</v>
      </c>
      <c r="U52" s="72" t="str">
        <f>IF(U42&lt;=U51,"TAK","NIE")</f>
        <v>TAK</v>
      </c>
      <c r="V52" s="72" t="str">
        <f>IF(V42&lt;=V51,"TAK","NIE")</f>
        <v>TAK</v>
      </c>
      <c r="W52" s="72" t="str">
        <f>IF(W42&lt;=W51,"TAK","NIE")</f>
        <v>TAK</v>
      </c>
      <c r="X52" s="72" t="str">
        <f>IF(X42&lt;=X51,"TAK","NIE")</f>
        <v>TAK</v>
      </c>
      <c r="Y52" s="72" t="str">
        <f>IF(Y42&lt;=Y51,"TAK","NIE")</f>
        <v>TAK</v>
      </c>
      <c r="Z52" s="72" t="str">
        <f>IF(Z42&lt;=Z51,"TAK","NIE")</f>
        <v>TAK</v>
      </c>
    </row>
    <row r="53" spans="1:26" ht="12.75">
      <c r="A53" t="s">
        <v>53</v>
      </c>
      <c r="B53" s="39"/>
      <c r="C53" s="39"/>
      <c r="D53" s="7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80"/>
      <c r="X53" s="80"/>
      <c r="Y53" s="80"/>
      <c r="Z53" s="39"/>
    </row>
    <row r="54" spans="2:26" ht="12.75">
      <c r="B54" s="39"/>
      <c r="C54" s="39"/>
      <c r="D54" s="7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80"/>
      <c r="X54" s="80"/>
      <c r="Y54" s="80"/>
      <c r="Z54" s="39"/>
    </row>
    <row r="55" spans="1:26" ht="12.75">
      <c r="A55" s="39"/>
      <c r="B55" s="39"/>
      <c r="C55" s="39"/>
      <c r="D55" s="7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81"/>
      <c r="X55" s="81"/>
      <c r="Y55" s="81"/>
      <c r="Z55" s="81"/>
    </row>
    <row r="56" spans="1:26" ht="12.75">
      <c r="A56" s="39"/>
      <c r="B56" s="39"/>
      <c r="C56" s="39"/>
      <c r="D56" s="7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7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81"/>
      <c r="X57" s="81"/>
      <c r="Y57" s="81"/>
      <c r="Z57" s="81"/>
    </row>
    <row r="58" spans="1:26" ht="90" customHeight="1">
      <c r="A58" s="82" t="s">
        <v>139</v>
      </c>
      <c r="B58" s="82"/>
      <c r="C58" s="82"/>
      <c r="D58" s="82"/>
      <c r="E58" s="82"/>
      <c r="F58" s="82"/>
      <c r="G58" s="82"/>
      <c r="H58" s="82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24.75" customHeight="1">
      <c r="A59" s="82"/>
      <c r="B59" s="82"/>
      <c r="C59" s="82"/>
      <c r="D59" s="82"/>
      <c r="E59" s="82"/>
      <c r="F59" s="82"/>
      <c r="G59" s="82"/>
      <c r="H59" s="82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83"/>
      <c r="B60" s="83"/>
      <c r="C60" s="83"/>
      <c r="D60" s="83"/>
      <c r="E60" s="83"/>
      <c r="F60" s="83"/>
      <c r="G60" s="83"/>
      <c r="H60" s="83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83"/>
      <c r="B61" s="83"/>
      <c r="C61" s="83"/>
      <c r="D61" s="83"/>
      <c r="E61" s="83"/>
      <c r="F61" s="83"/>
      <c r="G61" s="83"/>
      <c r="H61" s="83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84" t="s">
        <v>140</v>
      </c>
      <c r="B62" s="39"/>
      <c r="C62" s="39"/>
      <c r="D62" s="79"/>
      <c r="E62" s="85">
        <f>SUM(E6-E10+E22)</f>
        <v>13051089.030000001</v>
      </c>
      <c r="F62" s="85">
        <f>SUM(F6-F10+F22)</f>
        <v>675100</v>
      </c>
      <c r="G62" s="85">
        <f>SUM(G6-G10+G22)</f>
        <v>9152256.702909999</v>
      </c>
      <c r="H62" s="85">
        <f>SUM(H6-H10+H22)</f>
        <v>9463759.960700206</v>
      </c>
      <c r="I62" s="85">
        <f>SUM(I6-I10+I22)</f>
        <v>9786450.818481915</v>
      </c>
      <c r="J62" s="85">
        <f>SUM(J6-J10+J22)</f>
        <v>10120722.021824852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7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7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7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79">
        <v>2010</v>
      </c>
      <c r="E66" s="39">
        <v>2011</v>
      </c>
      <c r="F66" s="39">
        <v>2012</v>
      </c>
      <c r="G66" s="39">
        <v>2013</v>
      </c>
      <c r="H66" s="39">
        <v>2014</v>
      </c>
      <c r="I66" s="39">
        <v>2015</v>
      </c>
      <c r="J66" s="39">
        <v>2016</v>
      </c>
      <c r="K66" s="39">
        <v>2017</v>
      </c>
      <c r="L66" s="39">
        <v>2018</v>
      </c>
      <c r="M66" s="39">
        <v>2019</v>
      </c>
      <c r="N66" s="39">
        <v>2020</v>
      </c>
      <c r="O66" s="39">
        <v>2021</v>
      </c>
      <c r="P66" s="39">
        <v>2022</v>
      </c>
      <c r="Q66" s="39">
        <v>2023</v>
      </c>
      <c r="R66" s="39">
        <v>2024</v>
      </c>
      <c r="S66" s="39">
        <v>2025</v>
      </c>
      <c r="T66" s="39">
        <v>2026</v>
      </c>
      <c r="U66" s="39">
        <v>2027</v>
      </c>
      <c r="V66" s="39">
        <v>2028</v>
      </c>
      <c r="W66" s="39">
        <v>2029</v>
      </c>
      <c r="X66" s="39">
        <v>2030</v>
      </c>
      <c r="Y66" s="39">
        <v>2031</v>
      </c>
      <c r="Z66" s="39">
        <v>2032</v>
      </c>
    </row>
    <row r="67" spans="1:26" ht="51" customHeight="1">
      <c r="A67" s="45" t="s">
        <v>141</v>
      </c>
      <c r="B67" s="86" t="s">
        <v>142</v>
      </c>
      <c r="C67" s="86"/>
      <c r="D67" s="87">
        <v>6476116.28</v>
      </c>
      <c r="E67" s="87">
        <f>6671237.45+29896.55</f>
        <v>6701134</v>
      </c>
      <c r="F67" s="87">
        <f>7075113.44-29896.55</f>
        <v>7045216.890000001</v>
      </c>
      <c r="G67" s="87">
        <v>4964286.04</v>
      </c>
      <c r="H67" s="87">
        <v>4964286.84</v>
      </c>
      <c r="I67" s="87">
        <v>2562422.84</v>
      </c>
      <c r="J67" s="87">
        <v>2562422.84</v>
      </c>
      <c r="K67" s="87">
        <v>2562422.84</v>
      </c>
      <c r="L67" s="87">
        <v>2562422.84</v>
      </c>
      <c r="M67" s="87">
        <v>2562431.84</v>
      </c>
      <c r="N67" s="87">
        <v>1547478.73</v>
      </c>
      <c r="O67" s="88"/>
      <c r="P67" s="89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7" ht="12.75">
      <c r="A68" s="45"/>
      <c r="B68" s="91" t="s">
        <v>143</v>
      </c>
      <c r="C68" s="87">
        <f>E15</f>
        <v>9201048</v>
      </c>
      <c r="D68" s="92">
        <v>0</v>
      </c>
      <c r="E68" s="92">
        <v>0</v>
      </c>
      <c r="F68" s="92">
        <v>235924</v>
      </c>
      <c r="G68" s="92">
        <v>471848</v>
      </c>
      <c r="H68" s="92">
        <v>471848</v>
      </c>
      <c r="I68" s="92">
        <v>471848</v>
      </c>
      <c r="J68" s="92">
        <v>471848</v>
      </c>
      <c r="K68" s="92">
        <v>471848</v>
      </c>
      <c r="L68" s="92">
        <v>471848</v>
      </c>
      <c r="M68" s="92">
        <v>471848</v>
      </c>
      <c r="N68" s="92">
        <v>471848</v>
      </c>
      <c r="O68" s="92">
        <v>471848</v>
      </c>
      <c r="P68" s="92">
        <v>471848</v>
      </c>
      <c r="Q68" s="92">
        <v>471848</v>
      </c>
      <c r="R68" s="92">
        <v>471848</v>
      </c>
      <c r="S68" s="92">
        <v>471848</v>
      </c>
      <c r="T68" s="92">
        <v>471848</v>
      </c>
      <c r="U68" s="92">
        <v>471848</v>
      </c>
      <c r="V68" s="92">
        <v>471848</v>
      </c>
      <c r="W68" s="92">
        <v>471848</v>
      </c>
      <c r="X68" s="92">
        <v>471848</v>
      </c>
      <c r="Y68" s="92">
        <v>471860</v>
      </c>
      <c r="Z68" s="92"/>
      <c r="AA68" s="93">
        <f>SUM(F68:Y68)</f>
        <v>9201048</v>
      </c>
    </row>
    <row r="69" spans="1:27" ht="18" customHeight="1">
      <c r="A69" s="45"/>
      <c r="B69" s="39" t="s">
        <v>144</v>
      </c>
      <c r="C69" s="94">
        <f>F15</f>
        <v>8373827.890000001</v>
      </c>
      <c r="D69" s="90">
        <v>0</v>
      </c>
      <c r="E69" s="90">
        <v>0</v>
      </c>
      <c r="F69" s="90">
        <v>0</v>
      </c>
      <c r="G69" s="90">
        <f>SUM(C69/20)</f>
        <v>418691.39450000005</v>
      </c>
      <c r="H69" s="90">
        <f>G69</f>
        <v>418691.39450000005</v>
      </c>
      <c r="I69" s="90">
        <f>H69</f>
        <v>418691.39450000005</v>
      </c>
      <c r="J69" s="90">
        <f>I69</f>
        <v>418691.39450000005</v>
      </c>
      <c r="K69" s="90">
        <f>J69</f>
        <v>418691.39450000005</v>
      </c>
      <c r="L69" s="90">
        <f>K69</f>
        <v>418691.39450000005</v>
      </c>
      <c r="M69" s="90">
        <f>L69</f>
        <v>418691.39450000005</v>
      </c>
      <c r="N69" s="90">
        <f>M69</f>
        <v>418691.39450000005</v>
      </c>
      <c r="O69" s="90">
        <f>N69</f>
        <v>418691.39450000005</v>
      </c>
      <c r="P69" s="90">
        <f>O69</f>
        <v>418691.39450000005</v>
      </c>
      <c r="Q69" s="90">
        <f>P69</f>
        <v>418691.39450000005</v>
      </c>
      <c r="R69" s="90">
        <f>Q69</f>
        <v>418691.39450000005</v>
      </c>
      <c r="S69" s="90">
        <f>R69</f>
        <v>418691.39450000005</v>
      </c>
      <c r="T69" s="90">
        <f>S69</f>
        <v>418691.39450000005</v>
      </c>
      <c r="U69" s="90">
        <f>T69</f>
        <v>418691.39450000005</v>
      </c>
      <c r="V69" s="90">
        <f>U69</f>
        <v>418691.39450000005</v>
      </c>
      <c r="W69" s="90">
        <f>V69</f>
        <v>418691.39450000005</v>
      </c>
      <c r="X69" s="90">
        <f>W69</f>
        <v>418691.39450000005</v>
      </c>
      <c r="Y69" s="90">
        <f>X69</f>
        <v>418691.39450000005</v>
      </c>
      <c r="Z69" s="90">
        <f>Y69</f>
        <v>418691.39450000005</v>
      </c>
      <c r="AA69" s="93">
        <f>SUM(G69:Z69)</f>
        <v>8373827.890000003</v>
      </c>
    </row>
    <row r="70" spans="1:26" ht="12.75">
      <c r="A70" s="39"/>
      <c r="B70" s="39"/>
      <c r="C70" s="39"/>
      <c r="D70" s="7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7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95" t="s">
        <v>145</v>
      </c>
      <c r="C72" s="95"/>
      <c r="D72" s="7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7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43.5" customHeight="1">
      <c r="A74" s="45" t="s">
        <v>146</v>
      </c>
      <c r="B74" s="96" t="s">
        <v>147</v>
      </c>
      <c r="C74" s="96"/>
      <c r="D74" s="87">
        <v>1661049</v>
      </c>
      <c r="E74" s="87">
        <v>1661049</v>
      </c>
      <c r="F74" s="87">
        <v>894882</v>
      </c>
      <c r="G74" s="87">
        <v>695132</v>
      </c>
      <c r="H74" s="87">
        <v>695132</v>
      </c>
      <c r="I74" s="87">
        <v>471415</v>
      </c>
      <c r="J74" s="87">
        <v>471415</v>
      </c>
      <c r="K74" s="87">
        <v>471415</v>
      </c>
      <c r="L74" s="87">
        <v>471415</v>
      </c>
      <c r="M74" s="87">
        <v>471418</v>
      </c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2.75">
      <c r="A75" s="39"/>
      <c r="B75" s="39" t="s">
        <v>148</v>
      </c>
      <c r="C75" s="97">
        <f>D16</f>
        <v>3134809</v>
      </c>
      <c r="D75" s="92"/>
      <c r="E75" s="92">
        <v>313480.9</v>
      </c>
      <c r="F75" s="92">
        <v>313480.9</v>
      </c>
      <c r="G75" s="92">
        <v>313480.9</v>
      </c>
      <c r="H75" s="92">
        <v>313480.9</v>
      </c>
      <c r="I75" s="92">
        <v>313480.9</v>
      </c>
      <c r="J75" s="92">
        <v>313480.9</v>
      </c>
      <c r="K75" s="92">
        <v>313480.9</v>
      </c>
      <c r="L75" s="92">
        <v>313480.9</v>
      </c>
      <c r="M75" s="92">
        <v>313480.9</v>
      </c>
      <c r="N75" s="92">
        <v>313480.9</v>
      </c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0"/>
    </row>
    <row r="76" spans="1:27" ht="12.75">
      <c r="A76" s="45"/>
      <c r="B76" s="91" t="s">
        <v>143</v>
      </c>
      <c r="C76" s="97">
        <f>E16</f>
        <v>1466212</v>
      </c>
      <c r="D76" s="92"/>
      <c r="E76" s="92"/>
      <c r="F76" s="92">
        <v>37594</v>
      </c>
      <c r="G76" s="92">
        <v>75188</v>
      </c>
      <c r="H76" s="92">
        <v>75188</v>
      </c>
      <c r="I76" s="92">
        <v>75188</v>
      </c>
      <c r="J76" s="92">
        <v>75188</v>
      </c>
      <c r="K76" s="92">
        <v>75188</v>
      </c>
      <c r="L76" s="92">
        <v>75188</v>
      </c>
      <c r="M76" s="92">
        <v>75188</v>
      </c>
      <c r="N76" s="92">
        <v>75188</v>
      </c>
      <c r="O76" s="92">
        <v>75188</v>
      </c>
      <c r="P76" s="92">
        <v>75188</v>
      </c>
      <c r="Q76" s="92">
        <v>75188</v>
      </c>
      <c r="R76" s="92">
        <v>75188</v>
      </c>
      <c r="S76" s="92">
        <v>75188</v>
      </c>
      <c r="T76" s="92">
        <v>75188</v>
      </c>
      <c r="U76" s="92">
        <v>75188</v>
      </c>
      <c r="V76" s="92">
        <v>75188</v>
      </c>
      <c r="W76" s="92">
        <v>75188</v>
      </c>
      <c r="X76" s="92">
        <v>75188</v>
      </c>
      <c r="Y76" s="92">
        <v>75234</v>
      </c>
      <c r="Z76" s="90"/>
      <c r="AA76" s="93">
        <f>SUM(F76:Y76)</f>
        <v>1466212</v>
      </c>
    </row>
    <row r="77" spans="1:26" ht="12.75">
      <c r="A77" s="45"/>
      <c r="B77" s="39" t="s">
        <v>144</v>
      </c>
      <c r="C77" s="94">
        <f>F16</f>
        <v>2632687</v>
      </c>
      <c r="D77" s="90"/>
      <c r="E77" s="90"/>
      <c r="F77" s="90"/>
      <c r="G77" s="90">
        <f>SUM($C77/20)</f>
        <v>131634.35</v>
      </c>
      <c r="H77" s="90">
        <f>SUM($C77/20)</f>
        <v>131634.35</v>
      </c>
      <c r="I77" s="90">
        <f>SUM($C77/20)</f>
        <v>131634.35</v>
      </c>
      <c r="J77" s="90">
        <f>SUM($C77/20)</f>
        <v>131634.35</v>
      </c>
      <c r="K77" s="90">
        <f>SUM($C77/20)</f>
        <v>131634.35</v>
      </c>
      <c r="L77" s="90">
        <f>SUM($C77/20)</f>
        <v>131634.35</v>
      </c>
      <c r="M77" s="90">
        <f>SUM($C77/20)</f>
        <v>131634.35</v>
      </c>
      <c r="N77" s="90">
        <f>SUM($C77/20)</f>
        <v>131634.35</v>
      </c>
      <c r="O77" s="90">
        <f>SUM($C77/20)</f>
        <v>131634.35</v>
      </c>
      <c r="P77" s="90">
        <f>SUM($C77/20)</f>
        <v>131634.35</v>
      </c>
      <c r="Q77" s="90">
        <f>SUM($C77/20)</f>
        <v>131634.35</v>
      </c>
      <c r="R77" s="90">
        <f>SUM($C77/20)</f>
        <v>131634.35</v>
      </c>
      <c r="S77" s="90">
        <f>SUM($C77/20)</f>
        <v>131634.35</v>
      </c>
      <c r="T77" s="90">
        <f>SUM($C77/20)</f>
        <v>131634.35</v>
      </c>
      <c r="U77" s="90">
        <f>SUM($C77/20)</f>
        <v>131634.35</v>
      </c>
      <c r="V77" s="90">
        <f>SUM($C77/20)</f>
        <v>131634.35</v>
      </c>
      <c r="W77" s="90">
        <f>SUM($C77/20)</f>
        <v>131634.35</v>
      </c>
      <c r="X77" s="90">
        <f>SUM($C77/20)</f>
        <v>131634.35</v>
      </c>
      <c r="Y77" s="90">
        <f>SUM($C77/20)</f>
        <v>131634.35</v>
      </c>
      <c r="Z77" s="90">
        <f>SUM($C77/20)</f>
        <v>131634.35</v>
      </c>
    </row>
    <row r="78" spans="1:26" ht="12.75">
      <c r="A78" s="39"/>
      <c r="B78" s="39"/>
      <c r="C78" s="3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2.75">
      <c r="A79" s="39"/>
      <c r="B79" s="39"/>
      <c r="C79" s="39"/>
      <c r="D79" s="7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7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2" spans="5:11" ht="12.75">
      <c r="E82" s="98"/>
      <c r="F82" s="98"/>
      <c r="G82" s="98"/>
      <c r="H82" s="98"/>
      <c r="I82" s="98"/>
      <c r="J82" s="98"/>
      <c r="K82" s="98"/>
    </row>
    <row r="83" spans="5:10" ht="12.75">
      <c r="E83" s="98"/>
      <c r="F83" s="98"/>
      <c r="G83" s="98"/>
      <c r="H83" s="98"/>
      <c r="I83" s="98"/>
      <c r="J83" s="98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workbookViewId="0" topLeftCell="C1">
      <pane ySplit="6" topLeftCell="A22" activePane="bottomLeft" state="frozen"/>
      <selection pane="topLeft" activeCell="C1" sqref="C1"/>
      <selection pane="bottomLeft" activeCell="I32" sqref="I32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99" customFormat="1" ht="14.25" customHeight="1">
      <c r="C1" s="100"/>
      <c r="D1" s="100"/>
      <c r="E1" s="100"/>
      <c r="F1" s="100"/>
      <c r="G1" s="100"/>
      <c r="H1" s="100"/>
      <c r="I1" s="100"/>
      <c r="J1" s="4" t="s">
        <v>149</v>
      </c>
      <c r="K1" s="4"/>
      <c r="L1" s="4"/>
    </row>
    <row r="2" spans="3:12" s="99" customFormat="1" ht="39" customHeight="1">
      <c r="C2" s="100"/>
      <c r="D2" s="100"/>
      <c r="E2" s="100"/>
      <c r="F2" s="100"/>
      <c r="G2" s="100"/>
      <c r="H2" s="100"/>
      <c r="I2" s="100"/>
      <c r="J2" s="101" t="s">
        <v>150</v>
      </c>
      <c r="K2" s="101"/>
      <c r="L2" s="101"/>
    </row>
    <row r="3" spans="3:12" s="99" customFormat="1" ht="12.75">
      <c r="C3" s="102" t="s">
        <v>151</v>
      </c>
      <c r="D3" s="102"/>
      <c r="E3" s="102"/>
      <c r="F3" s="102"/>
      <c r="G3" s="102"/>
      <c r="H3" s="102"/>
      <c r="I3" s="102"/>
      <c r="J3" s="102" t="s">
        <v>63</v>
      </c>
      <c r="K3" s="102"/>
      <c r="L3" s="102"/>
    </row>
    <row r="4" s="99" customFormat="1" ht="7.5" customHeight="1"/>
    <row r="5" spans="2:12" s="99" customFormat="1" ht="73.5" customHeight="1">
      <c r="B5" s="103" t="s">
        <v>2</v>
      </c>
      <c r="C5" s="103" t="s">
        <v>152</v>
      </c>
      <c r="D5" s="103" t="s">
        <v>153</v>
      </c>
      <c r="E5" s="103" t="s">
        <v>154</v>
      </c>
      <c r="F5" s="103"/>
      <c r="G5" s="103" t="s">
        <v>155</v>
      </c>
      <c r="H5" s="103" t="s">
        <v>156</v>
      </c>
      <c r="I5" s="103"/>
      <c r="J5" s="103"/>
      <c r="K5" s="103"/>
      <c r="L5" s="103" t="s">
        <v>157</v>
      </c>
    </row>
    <row r="6" spans="2:12" s="99" customFormat="1" ht="9" customHeight="1">
      <c r="B6" s="103"/>
      <c r="C6" s="103"/>
      <c r="D6" s="103"/>
      <c r="E6" s="103" t="s">
        <v>158</v>
      </c>
      <c r="F6" s="103" t="s">
        <v>159</v>
      </c>
      <c r="G6" s="103"/>
      <c r="H6" s="103">
        <v>2012</v>
      </c>
      <c r="I6" s="103">
        <v>2013</v>
      </c>
      <c r="J6" s="103">
        <v>2014</v>
      </c>
      <c r="K6" s="103">
        <v>2015</v>
      </c>
      <c r="L6" s="103"/>
    </row>
    <row r="7" spans="2:12" s="99" customFormat="1" ht="12.75"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10</v>
      </c>
      <c r="L7" s="104">
        <v>11</v>
      </c>
    </row>
    <row r="8" spans="2:12" s="105" customFormat="1" ht="30.75" customHeight="1">
      <c r="B8" s="106"/>
      <c r="C8" s="107" t="s">
        <v>160</v>
      </c>
      <c r="D8" s="107"/>
      <c r="E8" s="107"/>
      <c r="F8" s="107"/>
      <c r="G8" s="108">
        <f>SUM(G9,G10)</f>
        <v>66855521.32</v>
      </c>
      <c r="H8" s="108">
        <f>SUM(H9,H10)</f>
        <v>23174286</v>
      </c>
      <c r="I8" s="108">
        <f>SUM(I9,I10)</f>
        <v>8224976.18</v>
      </c>
      <c r="J8" s="108">
        <f>SUM(J9,J10)</f>
        <v>1530000</v>
      </c>
      <c r="K8" s="108">
        <f>SUM(K9,K10)</f>
        <v>1500000</v>
      </c>
      <c r="L8" s="108">
        <f>SUM(L9,L10)</f>
        <v>0</v>
      </c>
    </row>
    <row r="9" spans="2:12" s="109" customFormat="1" ht="12.75">
      <c r="B9" s="110"/>
      <c r="C9" s="111" t="s">
        <v>161</v>
      </c>
      <c r="D9" s="111"/>
      <c r="E9" s="111"/>
      <c r="F9" s="111"/>
      <c r="G9" s="112">
        <f>SUM(G12,G75,G80)</f>
        <v>1870008.32</v>
      </c>
      <c r="H9" s="112">
        <f>SUM(H12,H75,H80)</f>
        <v>470085</v>
      </c>
      <c r="I9" s="112">
        <f>SUM(I12,I75,I80)</f>
        <v>55620</v>
      </c>
      <c r="J9" s="112">
        <f>SUM(J12,J75,J80)</f>
        <v>30000</v>
      </c>
      <c r="K9" s="112">
        <f>SUM(K12,K75,K80)</f>
        <v>0</v>
      </c>
      <c r="L9" s="112">
        <f>SUM(L12,L75,L80)</f>
        <v>0</v>
      </c>
    </row>
    <row r="10" spans="2:16" s="109" customFormat="1" ht="12.75">
      <c r="B10" s="110"/>
      <c r="C10" s="111" t="s">
        <v>162</v>
      </c>
      <c r="D10" s="111"/>
      <c r="E10" s="111"/>
      <c r="F10" s="111"/>
      <c r="G10" s="112">
        <f>SUM(G13,G76)</f>
        <v>64985513</v>
      </c>
      <c r="H10" s="112">
        <f>SUM(H13,H76)</f>
        <v>22704201</v>
      </c>
      <c r="I10" s="112">
        <f>SUM(I13,I76)</f>
        <v>8169356.18</v>
      </c>
      <c r="J10" s="112">
        <f>SUM(J13,J76)</f>
        <v>1500000</v>
      </c>
      <c r="K10" s="112">
        <f>SUM(K13,K76)</f>
        <v>1500000</v>
      </c>
      <c r="L10" s="112">
        <f>SUM(L13,L76)</f>
        <v>0</v>
      </c>
      <c r="M10" s="113"/>
      <c r="N10" s="113"/>
      <c r="O10" s="113"/>
      <c r="P10" s="113"/>
    </row>
    <row r="11" spans="2:12" s="109" customFormat="1" ht="12.75">
      <c r="B11" s="110"/>
      <c r="C11" s="114" t="s">
        <v>163</v>
      </c>
      <c r="D11" s="114"/>
      <c r="E11" s="114"/>
      <c r="F11" s="114"/>
      <c r="G11" s="115">
        <f>SUM(G12,G13)</f>
        <v>66155521.32</v>
      </c>
      <c r="H11" s="115">
        <f>SUM(H12,H13)</f>
        <v>22982286</v>
      </c>
      <c r="I11" s="115">
        <f>SUM(I12,I13)</f>
        <v>8224976.18</v>
      </c>
      <c r="J11" s="115">
        <f>SUM(J12,J13)</f>
        <v>1530000</v>
      </c>
      <c r="K11" s="115">
        <f>SUM(K12,K13)</f>
        <v>1500000</v>
      </c>
      <c r="L11" s="115">
        <f>SUM(L12,L13)</f>
        <v>0</v>
      </c>
    </row>
    <row r="12" spans="2:12" s="109" customFormat="1" ht="12.75">
      <c r="B12" s="110"/>
      <c r="C12" s="116" t="s">
        <v>161</v>
      </c>
      <c r="D12" s="116"/>
      <c r="E12" s="116"/>
      <c r="F12" s="116"/>
      <c r="G12" s="112">
        <f>SUM(G15,G57,G60)</f>
        <v>1170008.32</v>
      </c>
      <c r="H12" s="112">
        <f>SUM(H15,H57,H60)</f>
        <v>278085</v>
      </c>
      <c r="I12" s="112">
        <f>SUM(I15,I57,I60)</f>
        <v>55620</v>
      </c>
      <c r="J12" s="112">
        <f>SUM(J15,J57,J60)</f>
        <v>30000</v>
      </c>
      <c r="K12" s="112">
        <f>SUM(K15,K57,K60)</f>
        <v>0</v>
      </c>
      <c r="L12" s="112">
        <f>SUM(L15,L57,L60)</f>
        <v>0</v>
      </c>
    </row>
    <row r="13" spans="2:12" s="109" customFormat="1" ht="12.75">
      <c r="B13" s="110"/>
      <c r="C13" s="116" t="s">
        <v>162</v>
      </c>
      <c r="D13" s="116"/>
      <c r="E13" s="116"/>
      <c r="F13" s="116"/>
      <c r="G13" s="112">
        <f>SUM(G16,G58,G61)</f>
        <v>64985513</v>
      </c>
      <c r="H13" s="112">
        <f>SUM(H16,H58,H61)</f>
        <v>22704201</v>
      </c>
      <c r="I13" s="112">
        <f>SUM(I16,I58,I61)</f>
        <v>8169356.18</v>
      </c>
      <c r="J13" s="112">
        <f>SUM(J16,J58,J61)</f>
        <v>1500000</v>
      </c>
      <c r="K13" s="112">
        <f>SUM(K16,K58,K61)</f>
        <v>1500000</v>
      </c>
      <c r="L13" s="112">
        <f>SUM(L16,L58,L61)</f>
        <v>0</v>
      </c>
    </row>
    <row r="14" spans="2:12" s="117" customFormat="1" ht="30.75" customHeight="1">
      <c r="B14" s="118"/>
      <c r="C14" s="119" t="s">
        <v>164</v>
      </c>
      <c r="D14" s="119"/>
      <c r="E14" s="119"/>
      <c r="F14" s="119"/>
      <c r="G14" s="115">
        <f>SUM(G15,G16)</f>
        <v>58805521.32</v>
      </c>
      <c r="H14" s="115">
        <f>SUM(H15,H16)</f>
        <v>22212286</v>
      </c>
      <c r="I14" s="115">
        <f>SUM(I15,I16)</f>
        <v>6234976.18</v>
      </c>
      <c r="J14" s="115">
        <f>SUM(J15,J16)</f>
        <v>30000</v>
      </c>
      <c r="K14" s="115">
        <f>SUM(K15,K16)</f>
        <v>0</v>
      </c>
      <c r="L14" s="115">
        <f>SUM(L15,L16)</f>
        <v>0</v>
      </c>
    </row>
    <row r="15" spans="2:12" s="117" customFormat="1" ht="12.75">
      <c r="B15" s="118"/>
      <c r="C15" s="120" t="s">
        <v>165</v>
      </c>
      <c r="D15" s="120"/>
      <c r="E15" s="120"/>
      <c r="F15" s="120"/>
      <c r="G15" s="112">
        <f>SUM(G18,G21,G24,G27,G30,G33,G36,G39,G42,G45,G48,G51,G54)</f>
        <v>1170008.32</v>
      </c>
      <c r="H15" s="112">
        <f>SUM(H18,H21,H24,H27,H30,H33,H36,H39,H42,H45,H48,H51,H54)</f>
        <v>278085</v>
      </c>
      <c r="I15" s="112">
        <f>SUM(I18,I21,I24,I27,I30,I33,I36,I39,I42,I45,I48,I51,I54)</f>
        <v>55620</v>
      </c>
      <c r="J15" s="112">
        <f>SUM(J18,J21,J24,J27,J30,J33,J36,J39,J42,J45,J48,J51,J54)</f>
        <v>30000</v>
      </c>
      <c r="K15" s="112">
        <f>SUM(K18,K21,K24,K27,K30,K33,K36,K39,K42,K45,K48,K51,K54)</f>
        <v>0</v>
      </c>
      <c r="L15" s="112">
        <f>SUM(L18,L21,L24,L27,L30,L33,L36,L39,L42,L45,L48,L51,L54)</f>
        <v>0</v>
      </c>
    </row>
    <row r="16" spans="2:12" s="117" customFormat="1" ht="12.75">
      <c r="B16" s="118"/>
      <c r="C16" s="120" t="s">
        <v>166</v>
      </c>
      <c r="D16" s="120"/>
      <c r="E16" s="120"/>
      <c r="F16" s="120"/>
      <c r="G16" s="112">
        <f>SUM(G19,G22,G25,G28,G31,G34,G37,G40,G43,G46,G49,G52,G55)</f>
        <v>57635513</v>
      </c>
      <c r="H16" s="112">
        <f>SUM(H19,H22,H25,H28,H31,H34,H37,H40,H43,H46,H49,H52,H55)</f>
        <v>21934201</v>
      </c>
      <c r="I16" s="112">
        <f>SUM(I19,I22,I25,I28,I31,I34,I37,I40,I43,I46,I49,I52,I55)</f>
        <v>6179356.18</v>
      </c>
      <c r="J16" s="112">
        <f>SUM(J19,J22,J25,J28,J31,J34,J37,J40,J43,J46,J49,J52,J55)</f>
        <v>0</v>
      </c>
      <c r="K16" s="112">
        <f>SUM(K19,K22,K25,K28,K31,K34,K37,K40,K43,K46,K49,K52,K55)</f>
        <v>0</v>
      </c>
      <c r="L16" s="112">
        <f>SUM(L19,L22,L25,L28,L31,L34,L37,L40,L43,L46,L49,L52,L55)</f>
        <v>0</v>
      </c>
    </row>
    <row r="17" spans="2:12" s="117" customFormat="1" ht="88.5" customHeight="1">
      <c r="B17" s="118"/>
      <c r="C17" s="121" t="s">
        <v>167</v>
      </c>
      <c r="D17" s="122" t="s">
        <v>168</v>
      </c>
      <c r="E17" s="123">
        <v>2011</v>
      </c>
      <c r="F17" s="124">
        <v>2012</v>
      </c>
      <c r="G17" s="125">
        <f>SUM(G18:G19)</f>
        <v>6521671</v>
      </c>
      <c r="H17" s="125">
        <f>SUM(H18:H19)</f>
        <v>5403540</v>
      </c>
      <c r="I17" s="125">
        <f>SUM(I18:I19)</f>
        <v>0</v>
      </c>
      <c r="J17" s="125">
        <f>SUM(J18:J19)</f>
        <v>0</v>
      </c>
      <c r="K17" s="125">
        <f>SUM(K18:K19)</f>
        <v>0</v>
      </c>
      <c r="L17" s="125">
        <f>SUM(L18:L19)</f>
        <v>0</v>
      </c>
    </row>
    <row r="18" spans="2:12" s="117" customFormat="1" ht="12.75">
      <c r="B18" s="118"/>
      <c r="C18" s="120" t="s">
        <v>161</v>
      </c>
      <c r="D18" s="126"/>
      <c r="E18" s="127"/>
      <c r="F18" s="128"/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</row>
    <row r="19" spans="2:12" s="117" customFormat="1" ht="15.75" customHeight="1">
      <c r="B19" s="118"/>
      <c r="C19" s="120" t="s">
        <v>162</v>
      </c>
      <c r="D19" s="126"/>
      <c r="E19" s="127"/>
      <c r="F19" s="128"/>
      <c r="G19" s="129">
        <v>6521671</v>
      </c>
      <c r="H19" s="129">
        <v>5403540</v>
      </c>
      <c r="I19" s="129">
        <v>0</v>
      </c>
      <c r="J19" s="129">
        <v>0</v>
      </c>
      <c r="K19" s="129">
        <v>0</v>
      </c>
      <c r="L19" s="129">
        <v>0</v>
      </c>
    </row>
    <row r="20" spans="2:12" s="117" customFormat="1" ht="91.5" customHeight="1">
      <c r="B20" s="118"/>
      <c r="C20" s="121" t="s">
        <v>169</v>
      </c>
      <c r="D20" s="122" t="s">
        <v>168</v>
      </c>
      <c r="E20" s="123">
        <v>2010</v>
      </c>
      <c r="F20" s="124">
        <v>2012</v>
      </c>
      <c r="G20" s="125">
        <f>SUM(G21:G22)</f>
        <v>3260000</v>
      </c>
      <c r="H20" s="125">
        <f>SUM(H21:H22)</f>
        <v>304220</v>
      </c>
      <c r="I20" s="125">
        <f>SUM(I21:I22)</f>
        <v>0</v>
      </c>
      <c r="J20" s="125">
        <f>SUM(J21:J22)</f>
        <v>0</v>
      </c>
      <c r="K20" s="125">
        <f>SUM(K21:K22)</f>
        <v>0</v>
      </c>
      <c r="L20" s="125">
        <f>SUM(L21:L22)</f>
        <v>0</v>
      </c>
    </row>
    <row r="21" spans="2:12" s="117" customFormat="1" ht="12.75">
      <c r="B21" s="118"/>
      <c r="C21" s="120" t="s">
        <v>161</v>
      </c>
      <c r="D21" s="126"/>
      <c r="E21" s="127"/>
      <c r="F21" s="128"/>
      <c r="G21" s="130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</row>
    <row r="22" spans="2:12" ht="12.75">
      <c r="B22" s="118"/>
      <c r="C22" s="120" t="s">
        <v>162</v>
      </c>
      <c r="D22" s="126"/>
      <c r="E22" s="127"/>
      <c r="F22" s="128"/>
      <c r="G22" s="129">
        <v>3260000</v>
      </c>
      <c r="H22" s="129">
        <v>304220</v>
      </c>
      <c r="I22" s="129">
        <v>0</v>
      </c>
      <c r="J22" s="129">
        <v>0</v>
      </c>
      <c r="K22" s="129">
        <v>0</v>
      </c>
      <c r="L22" s="129">
        <v>0</v>
      </c>
    </row>
    <row r="23" spans="2:12" ht="92.25" customHeight="1">
      <c r="B23" s="118"/>
      <c r="C23" s="121" t="s">
        <v>170</v>
      </c>
      <c r="D23" s="122" t="s">
        <v>168</v>
      </c>
      <c r="E23" s="123">
        <v>2008</v>
      </c>
      <c r="F23" s="124">
        <v>2012</v>
      </c>
      <c r="G23" s="125">
        <f>SUM(G24:G25)</f>
        <v>6837213</v>
      </c>
      <c r="H23" s="125">
        <f>SUM(H24:H25)</f>
        <v>1600267</v>
      </c>
      <c r="I23" s="125">
        <f>SUM(I24:I25)</f>
        <v>0</v>
      </c>
      <c r="J23" s="125">
        <f>SUM(J24:J25)</f>
        <v>0</v>
      </c>
      <c r="K23" s="125">
        <f>SUM(K24:K25)</f>
        <v>0</v>
      </c>
      <c r="L23" s="125">
        <f>SUM(L24:L25)</f>
        <v>0</v>
      </c>
    </row>
    <row r="24" spans="2:12" ht="12.75">
      <c r="B24" s="118"/>
      <c r="C24" s="120" t="s">
        <v>161</v>
      </c>
      <c r="D24" s="126"/>
      <c r="E24" s="127"/>
      <c r="F24" s="128"/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</row>
    <row r="25" spans="2:12" ht="12.75">
      <c r="B25" s="118"/>
      <c r="C25" s="120" t="s">
        <v>162</v>
      </c>
      <c r="D25" s="126"/>
      <c r="E25" s="127"/>
      <c r="F25" s="128"/>
      <c r="G25" s="129">
        <v>6837213</v>
      </c>
      <c r="H25" s="129">
        <v>1600267</v>
      </c>
      <c r="I25" s="129">
        <v>0</v>
      </c>
      <c r="J25" s="129">
        <v>0</v>
      </c>
      <c r="K25" s="129">
        <v>0</v>
      </c>
      <c r="L25" s="129">
        <v>0</v>
      </c>
    </row>
    <row r="26" spans="2:12" ht="104.25" customHeight="1">
      <c r="B26" s="118"/>
      <c r="C26" s="121" t="s">
        <v>171</v>
      </c>
      <c r="D26" s="122" t="s">
        <v>168</v>
      </c>
      <c r="E26" s="123">
        <v>2008</v>
      </c>
      <c r="F26" s="124">
        <v>2012</v>
      </c>
      <c r="G26" s="125">
        <f>SUM(G27:G28)</f>
        <v>22532072</v>
      </c>
      <c r="H26" s="125">
        <f>SUM(H27:H28)</f>
        <v>7983464</v>
      </c>
      <c r="I26" s="125">
        <f>SUM(I27:I28)</f>
        <v>0</v>
      </c>
      <c r="J26" s="125">
        <f>SUM(J27:J28)</f>
        <v>0</v>
      </c>
      <c r="K26" s="125"/>
      <c r="L26" s="125">
        <f>SUM(L27:L28)</f>
        <v>0</v>
      </c>
    </row>
    <row r="27" spans="2:12" ht="14.25" customHeight="1">
      <c r="B27" s="118"/>
      <c r="C27" s="120" t="s">
        <v>161</v>
      </c>
      <c r="D27" s="126"/>
      <c r="E27" s="127"/>
      <c r="F27" s="128"/>
      <c r="G27" s="129">
        <v>0</v>
      </c>
      <c r="H27" s="129">
        <v>0</v>
      </c>
      <c r="I27" s="129">
        <v>0</v>
      </c>
      <c r="J27" s="129">
        <v>0</v>
      </c>
      <c r="K27" s="129"/>
      <c r="L27" s="129">
        <v>0</v>
      </c>
    </row>
    <row r="28" spans="2:12" ht="12.75">
      <c r="B28" s="118"/>
      <c r="C28" s="120" t="s">
        <v>162</v>
      </c>
      <c r="D28" s="126"/>
      <c r="E28" s="127"/>
      <c r="F28" s="128"/>
      <c r="G28" s="129">
        <v>22532072</v>
      </c>
      <c r="H28" s="129">
        <v>7983464</v>
      </c>
      <c r="I28" s="129">
        <v>0</v>
      </c>
      <c r="J28" s="129">
        <v>0</v>
      </c>
      <c r="K28" s="129"/>
      <c r="L28" s="129">
        <v>0</v>
      </c>
    </row>
    <row r="29" spans="2:12" ht="97.5" customHeight="1">
      <c r="B29" s="118"/>
      <c r="C29" s="121" t="s">
        <v>172</v>
      </c>
      <c r="D29" s="122" t="s">
        <v>168</v>
      </c>
      <c r="E29" s="123">
        <v>2008</v>
      </c>
      <c r="F29" s="124">
        <v>2013</v>
      </c>
      <c r="G29" s="125">
        <f>SUM(G30:G31)</f>
        <v>12685671</v>
      </c>
      <c r="H29" s="125">
        <f>SUM(H30:H31)</f>
        <v>3386352</v>
      </c>
      <c r="I29" s="125">
        <f>SUM(I30:I31)</f>
        <v>3716828.18</v>
      </c>
      <c r="J29" s="125">
        <f>SUM(J30:J31)</f>
        <v>0</v>
      </c>
      <c r="K29" s="125">
        <f>SUM(K30:K31)</f>
        <v>0</v>
      </c>
      <c r="L29" s="125">
        <f>SUM(L30:L31)</f>
        <v>0</v>
      </c>
    </row>
    <row r="30" spans="2:12" ht="12.75">
      <c r="B30" s="118"/>
      <c r="C30" s="120" t="s">
        <v>161</v>
      </c>
      <c r="D30" s="126"/>
      <c r="E30" s="127"/>
      <c r="F30" s="128"/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</row>
    <row r="31" spans="2:12" ht="12.75">
      <c r="B31" s="118"/>
      <c r="C31" s="120" t="s">
        <v>162</v>
      </c>
      <c r="D31" s="126"/>
      <c r="E31" s="127"/>
      <c r="F31" s="128"/>
      <c r="G31" s="129">
        <f>11585671+1100000</f>
        <v>12685671</v>
      </c>
      <c r="H31" s="129">
        <f>2486352+900000</f>
        <v>3386352</v>
      </c>
      <c r="I31" s="129">
        <f>1100000+200000+2416828.18</f>
        <v>3716828.18</v>
      </c>
      <c r="J31" s="129">
        <v>0</v>
      </c>
      <c r="K31" s="129">
        <v>0</v>
      </c>
      <c r="L31" s="129">
        <v>0</v>
      </c>
    </row>
    <row r="32" spans="2:12" ht="68.25" customHeight="1">
      <c r="B32" s="118"/>
      <c r="C32" s="121" t="s">
        <v>173</v>
      </c>
      <c r="D32" s="122" t="s">
        <v>168</v>
      </c>
      <c r="E32" s="123">
        <v>2012</v>
      </c>
      <c r="F32" s="123">
        <v>2013</v>
      </c>
      <c r="G32" s="125">
        <f>SUM(G33:G34)</f>
        <v>4347456</v>
      </c>
      <c r="H32" s="125">
        <f>SUM(H33:H34)</f>
        <v>2171728</v>
      </c>
      <c r="I32" s="125">
        <f>SUM(I33:I34)</f>
        <v>2175728</v>
      </c>
      <c r="J32" s="125">
        <f>SUM(J33:J34)</f>
        <v>0</v>
      </c>
      <c r="K32" s="125">
        <f>SUM(K33:K34)</f>
        <v>0</v>
      </c>
      <c r="L32" s="125">
        <f>SUM(L33:L34)</f>
        <v>0</v>
      </c>
    </row>
    <row r="33" spans="2:12" ht="12.75">
      <c r="B33" s="118"/>
      <c r="C33" s="120" t="s">
        <v>161</v>
      </c>
      <c r="D33" s="126"/>
      <c r="E33" s="127"/>
      <c r="F33" s="128"/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</row>
    <row r="34" spans="2:12" ht="12.75">
      <c r="B34" s="118"/>
      <c r="C34" s="120" t="s">
        <v>162</v>
      </c>
      <c r="D34" s="126"/>
      <c r="E34" s="127"/>
      <c r="F34" s="128"/>
      <c r="G34" s="129">
        <f>4351456-4000</f>
        <v>4347456</v>
      </c>
      <c r="H34" s="129">
        <f>2175728-4000</f>
        <v>2171728</v>
      </c>
      <c r="I34" s="129">
        <v>2175728</v>
      </c>
      <c r="J34" s="129">
        <v>0</v>
      </c>
      <c r="K34" s="129">
        <v>0</v>
      </c>
      <c r="L34" s="129">
        <v>0</v>
      </c>
    </row>
    <row r="35" spans="2:12" ht="82.5" customHeight="1">
      <c r="B35" s="118"/>
      <c r="C35" s="131" t="s">
        <v>174</v>
      </c>
      <c r="D35" s="122" t="s">
        <v>168</v>
      </c>
      <c r="E35" s="123">
        <v>2011</v>
      </c>
      <c r="F35" s="124">
        <v>2012</v>
      </c>
      <c r="G35" s="125">
        <f>SUM(G36:G37)</f>
        <v>844630</v>
      </c>
      <c r="H35" s="125">
        <f>SUM(H36:H37)</f>
        <v>764630</v>
      </c>
      <c r="I35" s="125">
        <f>SUM(I36:I37)</f>
        <v>0</v>
      </c>
      <c r="J35" s="125">
        <f>SUM(J36:J37)</f>
        <v>0</v>
      </c>
      <c r="K35" s="125">
        <f>SUM(K36:K37)</f>
        <v>0</v>
      </c>
      <c r="L35" s="125">
        <f>SUM(L36:L37)</f>
        <v>0</v>
      </c>
    </row>
    <row r="36" spans="2:12" ht="12.75">
      <c r="B36" s="118"/>
      <c r="C36" s="120" t="s">
        <v>161</v>
      </c>
      <c r="D36" s="126"/>
      <c r="E36" s="127"/>
      <c r="F36" s="128"/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</row>
    <row r="37" spans="2:12" ht="12.75">
      <c r="B37" s="118"/>
      <c r="C37" s="120" t="s">
        <v>162</v>
      </c>
      <c r="D37" s="126"/>
      <c r="E37" s="127"/>
      <c r="F37" s="128"/>
      <c r="G37" s="129">
        <f>860000-15370</f>
        <v>844630</v>
      </c>
      <c r="H37" s="129">
        <f>780000-15370</f>
        <v>764630</v>
      </c>
      <c r="I37" s="129">
        <v>0</v>
      </c>
      <c r="J37" s="129">
        <v>0</v>
      </c>
      <c r="K37" s="129">
        <v>0</v>
      </c>
      <c r="L37" s="129">
        <v>0</v>
      </c>
    </row>
    <row r="38" spans="2:12" ht="103.5" customHeight="1">
      <c r="B38" s="118"/>
      <c r="C38" s="131" t="s">
        <v>175</v>
      </c>
      <c r="D38" s="122" t="s">
        <v>168</v>
      </c>
      <c r="E38" s="123">
        <v>2012</v>
      </c>
      <c r="F38" s="124">
        <v>2013</v>
      </c>
      <c r="G38" s="125">
        <f>SUM(G39:G40)</f>
        <v>606800</v>
      </c>
      <c r="H38" s="125">
        <f>SUM(H39:H40)</f>
        <v>320000</v>
      </c>
      <c r="I38" s="125">
        <f>SUM(I39:I40)</f>
        <v>286800</v>
      </c>
      <c r="J38" s="125">
        <f>SUM(J39:J40)</f>
        <v>0</v>
      </c>
      <c r="K38" s="125">
        <f>SUM(K39:K40)</f>
        <v>0</v>
      </c>
      <c r="L38" s="125">
        <f>SUM(L39:L40)</f>
        <v>0</v>
      </c>
    </row>
    <row r="39" spans="2:12" ht="12.75">
      <c r="B39" s="118"/>
      <c r="C39" s="120" t="s">
        <v>161</v>
      </c>
      <c r="D39" s="126"/>
      <c r="E39" s="127"/>
      <c r="F39" s="128"/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</row>
    <row r="40" spans="2:12" ht="12.75">
      <c r="B40" s="118"/>
      <c r="C40" s="120" t="s">
        <v>162</v>
      </c>
      <c r="D40" s="126"/>
      <c r="E40" s="127"/>
      <c r="F40" s="128"/>
      <c r="G40" s="129">
        <v>606800</v>
      </c>
      <c r="H40" s="129">
        <v>320000</v>
      </c>
      <c r="I40" s="129">
        <v>286800</v>
      </c>
      <c r="J40" s="129">
        <v>0</v>
      </c>
      <c r="K40" s="129">
        <v>0</v>
      </c>
      <c r="L40" s="129">
        <v>0</v>
      </c>
    </row>
    <row r="41" spans="2:12" ht="111.75" customHeight="1">
      <c r="B41" s="118"/>
      <c r="C41" s="121" t="s">
        <v>176</v>
      </c>
      <c r="D41" s="122" t="s">
        <v>177</v>
      </c>
      <c r="E41" s="123">
        <v>2009</v>
      </c>
      <c r="F41" s="124">
        <v>2012</v>
      </c>
      <c r="G41" s="125">
        <f>SUM(G42:G43)</f>
        <v>120775</v>
      </c>
      <c r="H41" s="125">
        <f>SUM(H42:H43)</f>
        <v>3425</v>
      </c>
      <c r="I41" s="125">
        <f>SUM(I42:I43)</f>
        <v>0</v>
      </c>
      <c r="J41" s="125">
        <f>SUM(J42:J43)</f>
        <v>0</v>
      </c>
      <c r="K41" s="125">
        <f>SUM(K42:K43)</f>
        <v>0</v>
      </c>
      <c r="L41" s="125">
        <f>SUM(L42:L43)</f>
        <v>0</v>
      </c>
    </row>
    <row r="42" spans="2:12" ht="12.75">
      <c r="B42" s="118"/>
      <c r="C42" s="120" t="s">
        <v>161</v>
      </c>
      <c r="D42" s="127"/>
      <c r="E42" s="127"/>
      <c r="F42" s="128"/>
      <c r="G42" s="129">
        <v>120775</v>
      </c>
      <c r="H42" s="129">
        <v>3425</v>
      </c>
      <c r="I42" s="129">
        <v>0</v>
      </c>
      <c r="J42" s="129">
        <v>0</v>
      </c>
      <c r="K42" s="129">
        <v>0</v>
      </c>
      <c r="L42" s="129">
        <v>0</v>
      </c>
    </row>
    <row r="43" spans="2:12" ht="12.75">
      <c r="B43" s="118"/>
      <c r="C43" s="120" t="s">
        <v>162</v>
      </c>
      <c r="D43" s="127"/>
      <c r="E43" s="127"/>
      <c r="F43" s="128"/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</row>
    <row r="44" spans="2:12" ht="93.75" customHeight="1">
      <c r="B44" s="118"/>
      <c r="C44" s="121" t="s">
        <v>178</v>
      </c>
      <c r="D44" s="122" t="s">
        <v>179</v>
      </c>
      <c r="E44" s="123">
        <v>2010</v>
      </c>
      <c r="F44" s="124">
        <v>2012</v>
      </c>
      <c r="G44" s="125">
        <f>SUM(G45:G46)</f>
        <v>718720</v>
      </c>
      <c r="H44" s="125">
        <f>SUM(H45:H46)</f>
        <v>221440</v>
      </c>
      <c r="I44" s="125">
        <f>SUM(I45:I46)</f>
        <v>0</v>
      </c>
      <c r="J44" s="125">
        <f>SUM(J45:J46)</f>
        <v>0</v>
      </c>
      <c r="K44" s="125">
        <f>SUM(K45:K46)</f>
        <v>0</v>
      </c>
      <c r="L44" s="125">
        <f>SUM(L45:L46)</f>
        <v>0</v>
      </c>
    </row>
    <row r="45" spans="2:12" ht="12.75">
      <c r="B45" s="118"/>
      <c r="C45" s="120" t="s">
        <v>161</v>
      </c>
      <c r="D45" s="132"/>
      <c r="E45" s="127"/>
      <c r="F45" s="128"/>
      <c r="G45" s="129">
        <v>718720</v>
      </c>
      <c r="H45" s="129">
        <v>221440</v>
      </c>
      <c r="I45" s="129">
        <v>0</v>
      </c>
      <c r="J45" s="129">
        <v>0</v>
      </c>
      <c r="K45" s="129">
        <v>0</v>
      </c>
      <c r="L45" s="129">
        <v>0</v>
      </c>
    </row>
    <row r="46" spans="2:12" ht="13.5" customHeight="1">
      <c r="B46" s="118"/>
      <c r="C46" s="120" t="s">
        <v>162</v>
      </c>
      <c r="D46" s="132"/>
      <c r="E46" s="127"/>
      <c r="F46" s="128"/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</row>
    <row r="47" spans="2:12" ht="78.75" customHeight="1">
      <c r="B47" s="118"/>
      <c r="C47" s="121" t="s">
        <v>180</v>
      </c>
      <c r="D47" s="122" t="s">
        <v>181</v>
      </c>
      <c r="E47" s="123">
        <v>2010</v>
      </c>
      <c r="F47" s="124">
        <v>2013</v>
      </c>
      <c r="G47" s="125">
        <f>SUM(G48:G49)</f>
        <v>164260</v>
      </c>
      <c r="H47" s="125">
        <f>SUM(H48:H49)</f>
        <v>26020</v>
      </c>
      <c r="I47" s="125">
        <f>SUM(I48:I49)</f>
        <v>15620</v>
      </c>
      <c r="J47" s="125">
        <f>SUM(J48:J49)</f>
        <v>0</v>
      </c>
      <c r="K47" s="125">
        <f>SUM(K48:K49)</f>
        <v>0</v>
      </c>
      <c r="L47" s="125">
        <f>SUM(L48:L49)</f>
        <v>0</v>
      </c>
    </row>
    <row r="48" spans="2:12" ht="14.25" customHeight="1">
      <c r="B48" s="118"/>
      <c r="C48" s="120" t="s">
        <v>161</v>
      </c>
      <c r="D48" s="127"/>
      <c r="E48" s="127"/>
      <c r="F48" s="128"/>
      <c r="G48" s="129">
        <v>164260</v>
      </c>
      <c r="H48" s="129">
        <v>26020</v>
      </c>
      <c r="I48" s="129">
        <v>15620</v>
      </c>
      <c r="J48" s="129">
        <v>0</v>
      </c>
      <c r="K48" s="129">
        <v>0</v>
      </c>
      <c r="L48" s="129">
        <v>0</v>
      </c>
    </row>
    <row r="49" spans="2:12" ht="12" customHeight="1">
      <c r="B49" s="118"/>
      <c r="C49" s="120" t="s">
        <v>162</v>
      </c>
      <c r="D49" s="127"/>
      <c r="E49" s="127"/>
      <c r="F49" s="128"/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</row>
    <row r="50" spans="2:12" ht="78.75" customHeight="1">
      <c r="B50" s="118"/>
      <c r="C50" s="121" t="s">
        <v>182</v>
      </c>
      <c r="D50" s="122" t="s">
        <v>177</v>
      </c>
      <c r="E50" s="123">
        <v>2010</v>
      </c>
      <c r="F50" s="124">
        <v>2013</v>
      </c>
      <c r="G50" s="125">
        <f>SUM(G51:G52)</f>
        <v>120000</v>
      </c>
      <c r="H50" s="125">
        <f>SUM(H51:H52)</f>
        <v>20000</v>
      </c>
      <c r="I50" s="125">
        <f>SUM(I51:I52)</f>
        <v>40000</v>
      </c>
      <c r="J50" s="125">
        <f>SUM(J51:J52)</f>
        <v>30000</v>
      </c>
      <c r="K50" s="125">
        <f>SUM(K51:K52)</f>
        <v>0</v>
      </c>
      <c r="L50" s="125">
        <f>SUM(L51:L52)</f>
        <v>0</v>
      </c>
    </row>
    <row r="51" spans="2:12" ht="14.25" customHeight="1">
      <c r="B51" s="118"/>
      <c r="C51" s="120" t="s">
        <v>161</v>
      </c>
      <c r="D51" s="127"/>
      <c r="E51" s="127"/>
      <c r="F51" s="128"/>
      <c r="G51" s="129">
        <v>120000</v>
      </c>
      <c r="H51" s="129">
        <v>20000</v>
      </c>
      <c r="I51" s="129">
        <v>40000</v>
      </c>
      <c r="J51" s="129">
        <v>30000</v>
      </c>
      <c r="K51" s="129">
        <v>0</v>
      </c>
      <c r="L51" s="129">
        <v>0</v>
      </c>
    </row>
    <row r="52" spans="2:12" ht="12" customHeight="1">
      <c r="B52" s="118"/>
      <c r="C52" s="120" t="s">
        <v>162</v>
      </c>
      <c r="D52" s="127"/>
      <c r="E52" s="127"/>
      <c r="F52" s="128"/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</row>
    <row r="53" spans="2:12" ht="78.75" customHeight="1">
      <c r="B53" s="118"/>
      <c r="C53" s="121" t="s">
        <v>183</v>
      </c>
      <c r="D53" s="122" t="s">
        <v>177</v>
      </c>
      <c r="E53" s="123">
        <v>2010</v>
      </c>
      <c r="F53" s="124">
        <v>2012</v>
      </c>
      <c r="G53" s="125">
        <f>SUM(G54:G55)</f>
        <v>46253.32</v>
      </c>
      <c r="H53" s="125">
        <f>SUM(H54:H55)</f>
        <v>7200</v>
      </c>
      <c r="I53" s="125">
        <f>SUM(I54:I55)</f>
        <v>0</v>
      </c>
      <c r="J53" s="125">
        <f>SUM(J54:J55)</f>
        <v>0</v>
      </c>
      <c r="K53" s="125">
        <f>SUM(K54:K55)</f>
        <v>0</v>
      </c>
      <c r="L53" s="125">
        <f>SUM(L54:L55)</f>
        <v>0</v>
      </c>
    </row>
    <row r="54" spans="2:12" ht="14.25" customHeight="1">
      <c r="B54" s="118"/>
      <c r="C54" s="120" t="s">
        <v>161</v>
      </c>
      <c r="D54" s="127"/>
      <c r="E54" s="127"/>
      <c r="F54" s="128"/>
      <c r="G54" s="129">
        <f>44353.32+1900</f>
        <v>46253.32</v>
      </c>
      <c r="H54" s="129">
        <f>5300+1900</f>
        <v>7200</v>
      </c>
      <c r="I54" s="129">
        <v>0</v>
      </c>
      <c r="J54" s="129">
        <v>0</v>
      </c>
      <c r="K54" s="129">
        <v>0</v>
      </c>
      <c r="L54" s="129">
        <v>0</v>
      </c>
    </row>
    <row r="55" spans="2:12" ht="12" customHeight="1">
      <c r="B55" s="118"/>
      <c r="C55" s="120" t="s">
        <v>162</v>
      </c>
      <c r="D55" s="127"/>
      <c r="E55" s="127"/>
      <c r="F55" s="128"/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</row>
    <row r="56" spans="2:12" ht="32.25" customHeight="1">
      <c r="B56" s="133"/>
      <c r="C56" s="119" t="s">
        <v>184</v>
      </c>
      <c r="D56" s="119"/>
      <c r="E56" s="119"/>
      <c r="F56" s="119"/>
      <c r="G56" s="125">
        <f>SUM(G57:G58)</f>
        <v>0</v>
      </c>
      <c r="H56" s="125">
        <f>SUM(H57:H58)</f>
        <v>0</v>
      </c>
      <c r="I56" s="125">
        <f>SUM(I57:I58)</f>
        <v>0</v>
      </c>
      <c r="J56" s="125">
        <f>SUM(J57:J58)</f>
        <v>0</v>
      </c>
      <c r="K56" s="125">
        <f>SUM(K57:K58)</f>
        <v>0</v>
      </c>
      <c r="L56" s="125">
        <f>SUM(L57:L58)</f>
        <v>0</v>
      </c>
    </row>
    <row r="57" spans="2:12" ht="13.5" customHeight="1">
      <c r="B57" s="133"/>
      <c r="C57" s="120" t="s">
        <v>161</v>
      </c>
      <c r="D57" s="120"/>
      <c r="E57" s="120"/>
      <c r="F57" s="120"/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</row>
    <row r="58" spans="2:12" ht="13.5" customHeight="1">
      <c r="B58" s="133"/>
      <c r="C58" s="120" t="s">
        <v>162</v>
      </c>
      <c r="D58" s="120"/>
      <c r="E58" s="120"/>
      <c r="F58" s="120"/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</row>
    <row r="59" spans="2:12" ht="29.25" customHeight="1">
      <c r="B59" s="133"/>
      <c r="C59" s="134" t="s">
        <v>185</v>
      </c>
      <c r="D59" s="134"/>
      <c r="E59" s="134"/>
      <c r="F59" s="134"/>
      <c r="G59" s="125">
        <f>SUM(G60:G61)</f>
        <v>7350000</v>
      </c>
      <c r="H59" s="125">
        <f>SUM(H60:H61)</f>
        <v>770000</v>
      </c>
      <c r="I59" s="125">
        <f>SUM(I60:I61)</f>
        <v>1990000</v>
      </c>
      <c r="J59" s="125">
        <f>SUM(J60:J61)</f>
        <v>1500000</v>
      </c>
      <c r="K59" s="125">
        <f>SUM(K60:K61)</f>
        <v>1500000</v>
      </c>
      <c r="L59" s="125">
        <f>SUM(L60:L61)</f>
        <v>0</v>
      </c>
    </row>
    <row r="60" spans="2:12" ht="12.75">
      <c r="B60" s="133"/>
      <c r="C60" s="120" t="s">
        <v>161</v>
      </c>
      <c r="D60" s="120"/>
      <c r="E60" s="120"/>
      <c r="F60" s="120"/>
      <c r="G60" s="125">
        <f>SUM(G63,G66,G69,G72)</f>
        <v>0</v>
      </c>
      <c r="H60" s="125">
        <f>SUM(H63,H66,H69,H72)</f>
        <v>0</v>
      </c>
      <c r="I60" s="125">
        <f>SUM(I63,I66,I69,I72)</f>
        <v>0</v>
      </c>
      <c r="J60" s="125">
        <f>SUM(J63,J66,J69,J72)</f>
        <v>0</v>
      </c>
      <c r="K60" s="125">
        <f>SUM(K63,K66,K69,K72)</f>
        <v>0</v>
      </c>
      <c r="L60" s="125">
        <f>SUM(L63,L66,L69,L72)</f>
        <v>0</v>
      </c>
    </row>
    <row r="61" spans="2:12" ht="12.75">
      <c r="B61" s="133"/>
      <c r="C61" s="120" t="s">
        <v>162</v>
      </c>
      <c r="D61" s="120"/>
      <c r="E61" s="120"/>
      <c r="F61" s="120"/>
      <c r="G61" s="125">
        <f>SUM(G64,G67,G70,G73)</f>
        <v>7350000</v>
      </c>
      <c r="H61" s="125">
        <f>SUM(H64,H67,H70,H73)</f>
        <v>770000</v>
      </c>
      <c r="I61" s="125">
        <f>SUM(I64,I67,I70,I73)</f>
        <v>1990000</v>
      </c>
      <c r="J61" s="125">
        <f>SUM(J64,J67,J70,J73)</f>
        <v>1500000</v>
      </c>
      <c r="K61" s="125">
        <f>SUM(K64,K67,K70,K73)</f>
        <v>1500000</v>
      </c>
      <c r="L61" s="125">
        <f>SUM(L64,L67,L70,L73)</f>
        <v>0</v>
      </c>
    </row>
    <row r="62" spans="2:12" s="117" customFormat="1" ht="12.75">
      <c r="B62" s="135"/>
      <c r="C62" s="121" t="s">
        <v>186</v>
      </c>
      <c r="D62" s="122" t="s">
        <v>168</v>
      </c>
      <c r="E62" s="123">
        <v>2011</v>
      </c>
      <c r="F62" s="124">
        <v>2015</v>
      </c>
      <c r="G62" s="125">
        <f>SUM(G63:G64)</f>
        <v>5900000</v>
      </c>
      <c r="H62" s="125">
        <f>SUM(H63:H64)</f>
        <v>100000</v>
      </c>
      <c r="I62" s="125">
        <f>SUM(I63:I64)</f>
        <v>1240000</v>
      </c>
      <c r="J62" s="125">
        <f>SUM(J63:J64)</f>
        <v>1500000</v>
      </c>
      <c r="K62" s="125">
        <f>SUM(K63:K64)</f>
        <v>1500000</v>
      </c>
      <c r="L62" s="125">
        <f>SUM(L63:L64)</f>
        <v>0</v>
      </c>
    </row>
    <row r="63" spans="2:12" s="117" customFormat="1" ht="12.75">
      <c r="B63" s="135"/>
      <c r="C63" s="120" t="s">
        <v>161</v>
      </c>
      <c r="D63" s="136"/>
      <c r="E63" s="137"/>
      <c r="F63" s="128"/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</row>
    <row r="64" spans="2:12" ht="12.75">
      <c r="B64" s="133"/>
      <c r="C64" s="120" t="s">
        <v>162</v>
      </c>
      <c r="D64" s="136"/>
      <c r="E64" s="137"/>
      <c r="F64" s="128"/>
      <c r="G64" s="129">
        <f>7000000-1100000</f>
        <v>5900000</v>
      </c>
      <c r="H64" s="129">
        <f>1000000-900000</f>
        <v>100000</v>
      </c>
      <c r="I64" s="129">
        <f>1440000-200000</f>
        <v>1240000</v>
      </c>
      <c r="J64" s="129">
        <v>1500000</v>
      </c>
      <c r="K64" s="129">
        <v>1500000</v>
      </c>
      <c r="L64" s="129">
        <v>0</v>
      </c>
    </row>
    <row r="65" spans="2:12" ht="74.25" customHeight="1">
      <c r="B65" s="118"/>
      <c r="C65" s="131" t="s">
        <v>187</v>
      </c>
      <c r="D65" s="122" t="s">
        <v>168</v>
      </c>
      <c r="E65" s="123">
        <v>2011</v>
      </c>
      <c r="F65" s="124">
        <v>2013</v>
      </c>
      <c r="G65" s="125">
        <f>SUM(G66:G67)</f>
        <v>1450000</v>
      </c>
      <c r="H65" s="125">
        <f>SUM(H66:H67)</f>
        <v>670000</v>
      </c>
      <c r="I65" s="125">
        <f>SUM(I66:I67)</f>
        <v>750000</v>
      </c>
      <c r="J65" s="125">
        <f>SUM(J66:J67)</f>
        <v>0</v>
      </c>
      <c r="K65" s="125">
        <f>SUM(K66:K67)</f>
        <v>0</v>
      </c>
      <c r="L65" s="125">
        <f>SUM(L66:L67)</f>
        <v>0</v>
      </c>
    </row>
    <row r="66" spans="2:12" ht="12.75">
      <c r="B66" s="118"/>
      <c r="C66" s="120" t="s">
        <v>161</v>
      </c>
      <c r="D66" s="126"/>
      <c r="E66" s="127"/>
      <c r="F66" s="128"/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</row>
    <row r="67" spans="2:12" ht="12.75">
      <c r="B67" s="118"/>
      <c r="C67" s="120" t="s">
        <v>162</v>
      </c>
      <c r="D67" s="126"/>
      <c r="E67" s="127"/>
      <c r="F67" s="128"/>
      <c r="G67" s="129">
        <v>1450000</v>
      </c>
      <c r="H67" s="129">
        <v>670000</v>
      </c>
      <c r="I67" s="129">
        <v>750000</v>
      </c>
      <c r="J67" s="129">
        <v>0</v>
      </c>
      <c r="K67" s="129">
        <v>0</v>
      </c>
      <c r="L67" s="129">
        <v>0</v>
      </c>
    </row>
    <row r="68" spans="2:12" ht="12.75">
      <c r="B68" s="133"/>
      <c r="C68" s="131"/>
      <c r="D68" s="122"/>
      <c r="E68" s="123"/>
      <c r="F68" s="124"/>
      <c r="G68" s="138">
        <f>SUM(G69:G70)</f>
        <v>0</v>
      </c>
      <c r="H68" s="138">
        <f>SUM(H69:H70)</f>
        <v>0</v>
      </c>
      <c r="I68" s="138">
        <f>SUM(I69:I70)</f>
        <v>0</v>
      </c>
      <c r="J68" s="138">
        <f>SUM(J69:J70)</f>
        <v>0</v>
      </c>
      <c r="K68" s="138">
        <f>SUM(K69:K70)</f>
        <v>0</v>
      </c>
      <c r="L68" s="138">
        <f>SUM(L69:L70)</f>
        <v>0</v>
      </c>
    </row>
    <row r="69" spans="2:12" ht="12.75">
      <c r="B69" s="133"/>
      <c r="C69" s="120" t="s">
        <v>161</v>
      </c>
      <c r="D69" s="120"/>
      <c r="E69" s="120"/>
      <c r="F69" s="120"/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29">
        <v>0</v>
      </c>
    </row>
    <row r="70" spans="2:12" ht="12.75">
      <c r="B70" s="133"/>
      <c r="C70" s="120" t="s">
        <v>162</v>
      </c>
      <c r="D70" s="120"/>
      <c r="E70" s="120"/>
      <c r="F70" s="120"/>
      <c r="G70" s="129"/>
      <c r="H70" s="129"/>
      <c r="I70" s="129"/>
      <c r="J70" s="129">
        <v>0</v>
      </c>
      <c r="K70" s="129">
        <v>0</v>
      </c>
      <c r="L70" s="129">
        <v>0</v>
      </c>
    </row>
    <row r="71" spans="2:12" ht="2.25" customHeight="1">
      <c r="B71" s="133"/>
      <c r="C71" s="131"/>
      <c r="D71" s="122"/>
      <c r="E71" s="123">
        <v>0</v>
      </c>
      <c r="F71" s="124">
        <v>0</v>
      </c>
      <c r="G71" s="138">
        <f>SUM(G72:G73)</f>
        <v>0</v>
      </c>
      <c r="H71" s="138">
        <f>SUM(H72:H73)</f>
        <v>0</v>
      </c>
      <c r="I71" s="138">
        <f>SUM(I72:I73)</f>
        <v>0</v>
      </c>
      <c r="J71" s="138">
        <f>SUM(J72:J73)</f>
        <v>0</v>
      </c>
      <c r="K71" s="138">
        <f>SUM(K72:K73)</f>
        <v>0</v>
      </c>
      <c r="L71" s="138">
        <f>SUM(L72:L73)</f>
        <v>0</v>
      </c>
    </row>
    <row r="72" spans="2:12" ht="2.25" customHeight="1">
      <c r="B72" s="133"/>
      <c r="C72" s="120" t="s">
        <v>161</v>
      </c>
      <c r="D72" s="120"/>
      <c r="E72" s="120"/>
      <c r="F72" s="120"/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0</v>
      </c>
    </row>
    <row r="73" spans="2:12" ht="2.25" customHeight="1">
      <c r="B73" s="133"/>
      <c r="C73" s="120" t="s">
        <v>162</v>
      </c>
      <c r="D73" s="120"/>
      <c r="E73" s="120"/>
      <c r="F73" s="120"/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0</v>
      </c>
    </row>
    <row r="74" spans="2:12" ht="43.5" customHeight="1">
      <c r="B74" s="133"/>
      <c r="C74" s="134" t="s">
        <v>188</v>
      </c>
      <c r="D74" s="134"/>
      <c r="E74" s="134"/>
      <c r="F74" s="134"/>
      <c r="G74" s="125">
        <f>SUM(G75:G76)</f>
        <v>0</v>
      </c>
      <c r="H74" s="125">
        <f>SUM(H75:H76)</f>
        <v>0</v>
      </c>
      <c r="I74" s="125">
        <f>SUM(I75:I76)</f>
        <v>0</v>
      </c>
      <c r="J74" s="125">
        <f>SUM(J75:J76)</f>
        <v>0</v>
      </c>
      <c r="K74" s="125">
        <f>SUM(K75:K76)</f>
        <v>0</v>
      </c>
      <c r="L74" s="125">
        <f>SUM(L75:L76)</f>
        <v>0</v>
      </c>
    </row>
    <row r="75" spans="2:12" ht="12.75">
      <c r="B75" s="133"/>
      <c r="C75" s="120" t="s">
        <v>161</v>
      </c>
      <c r="D75" s="120"/>
      <c r="E75" s="120"/>
      <c r="F75" s="120"/>
      <c r="G75" s="130">
        <v>0</v>
      </c>
      <c r="H75" s="130">
        <v>0</v>
      </c>
      <c r="I75" s="130">
        <v>0</v>
      </c>
      <c r="J75" s="130">
        <f>SUM(J80)</f>
        <v>0</v>
      </c>
      <c r="K75" s="130">
        <f>SUM(K80)</f>
        <v>0</v>
      </c>
      <c r="L75" s="130">
        <f>SUM(L80)</f>
        <v>0</v>
      </c>
    </row>
    <row r="76" spans="2:12" ht="12.75">
      <c r="B76" s="133"/>
      <c r="C76" s="120" t="s">
        <v>162</v>
      </c>
      <c r="D76" s="120"/>
      <c r="E76" s="120"/>
      <c r="F76" s="120"/>
      <c r="G76" s="130">
        <f>SUM(G81)</f>
        <v>0</v>
      </c>
      <c r="H76" s="130">
        <f>SUM(H81)</f>
        <v>0</v>
      </c>
      <c r="I76" s="130">
        <f>SUM(I81)</f>
        <v>0</v>
      </c>
      <c r="J76" s="130">
        <f>SUM(J81)</f>
        <v>0</v>
      </c>
      <c r="K76" s="130">
        <f>SUM(K81)</f>
        <v>0</v>
      </c>
      <c r="L76" s="130">
        <f>SUM(L81)</f>
        <v>0</v>
      </c>
    </row>
    <row r="77" spans="2:12" ht="25.5" customHeight="1">
      <c r="B77" s="133"/>
      <c r="C77" s="134" t="s">
        <v>189</v>
      </c>
      <c r="D77" s="134"/>
      <c r="E77" s="134"/>
      <c r="F77" s="134"/>
      <c r="G77" s="125">
        <f>SUM(G78)</f>
        <v>700000</v>
      </c>
      <c r="H77" s="125">
        <f>SUM(H78)</f>
        <v>192000</v>
      </c>
      <c r="I77" s="125">
        <f>SUM(I78)</f>
        <v>0</v>
      </c>
      <c r="J77" s="125">
        <f>SUM(J78)</f>
        <v>0</v>
      </c>
      <c r="K77" s="125">
        <f>SUM(K78)</f>
        <v>0</v>
      </c>
      <c r="L77" s="125">
        <f>SUM(L78)</f>
        <v>0</v>
      </c>
    </row>
    <row r="78" spans="2:12" ht="12.75">
      <c r="B78" s="133"/>
      <c r="C78" s="120" t="s">
        <v>161</v>
      </c>
      <c r="D78" s="120"/>
      <c r="E78" s="120"/>
      <c r="F78" s="120"/>
      <c r="G78" s="125">
        <f>SUM(G79)</f>
        <v>700000</v>
      </c>
      <c r="H78" s="125">
        <f>SUM(H79)</f>
        <v>192000</v>
      </c>
      <c r="I78" s="125">
        <f>SUM(I79)</f>
        <v>0</v>
      </c>
      <c r="J78" s="125">
        <f>SUM(J79)</f>
        <v>0</v>
      </c>
      <c r="K78" s="125">
        <f>SUM(K79)</f>
        <v>0</v>
      </c>
      <c r="L78" s="125">
        <f>SUM(L79)</f>
        <v>0</v>
      </c>
    </row>
    <row r="79" spans="2:12" s="117" customFormat="1" ht="12.75">
      <c r="B79" s="135"/>
      <c r="C79" s="121" t="s">
        <v>190</v>
      </c>
      <c r="D79" s="122" t="s">
        <v>177</v>
      </c>
      <c r="E79" s="123">
        <v>2008</v>
      </c>
      <c r="F79" s="124">
        <v>2012</v>
      </c>
      <c r="G79" s="125">
        <f>SUM(G80:G80)</f>
        <v>700000</v>
      </c>
      <c r="H79" s="125">
        <f>SUM(H80:H80)</f>
        <v>192000</v>
      </c>
      <c r="I79" s="125">
        <f>SUM(I80:I80)</f>
        <v>0</v>
      </c>
      <c r="J79" s="125">
        <f>SUM(J80:J80)</f>
        <v>0</v>
      </c>
      <c r="K79" s="125">
        <f>SUM(K80:K80)</f>
        <v>0</v>
      </c>
      <c r="L79" s="125">
        <f>SUM(L80:L80)</f>
        <v>0</v>
      </c>
    </row>
    <row r="80" spans="2:12" s="117" customFormat="1" ht="12.75">
      <c r="B80" s="135"/>
      <c r="C80" s="120" t="s">
        <v>161</v>
      </c>
      <c r="D80" s="137"/>
      <c r="E80" s="137"/>
      <c r="F80" s="128"/>
      <c r="G80" s="129">
        <v>700000</v>
      </c>
      <c r="H80" s="129">
        <v>192000</v>
      </c>
      <c r="I80" s="129">
        <v>0</v>
      </c>
      <c r="J80" s="129">
        <v>0</v>
      </c>
      <c r="K80" s="129">
        <v>0</v>
      </c>
      <c r="L80" s="129">
        <v>0</v>
      </c>
    </row>
    <row r="81" ht="12.75">
      <c r="C81" t="s">
        <v>53</v>
      </c>
    </row>
    <row r="82" spans="8:11" ht="12.75">
      <c r="H82" s="38"/>
      <c r="I82" s="38"/>
      <c r="J82" s="38"/>
      <c r="K82" s="38"/>
    </row>
    <row r="83" spans="8:11" ht="12.75">
      <c r="H83" s="38"/>
      <c r="I83" s="38"/>
      <c r="J83" s="38"/>
      <c r="K83" s="38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" sqref="A3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4.00390625" style="0" customWidth="1"/>
    <col min="5" max="5" width="13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39" t="s">
        <v>191</v>
      </c>
      <c r="B1" s="139"/>
      <c r="C1" s="139"/>
      <c r="D1" s="139"/>
      <c r="E1" s="139"/>
      <c r="F1" s="139"/>
      <c r="G1" s="139"/>
    </row>
    <row r="2" spans="1:7" ht="12" customHeight="1">
      <c r="A2" s="139" t="s">
        <v>192</v>
      </c>
      <c r="B2" s="139"/>
      <c r="C2" s="139"/>
      <c r="D2" s="139"/>
      <c r="E2" s="139"/>
      <c r="F2" s="139"/>
      <c r="G2" s="139"/>
    </row>
    <row r="3" spans="1:7" ht="12" customHeight="1">
      <c r="A3" s="139" t="s">
        <v>193</v>
      </c>
      <c r="B3" s="139"/>
      <c r="C3" s="139"/>
      <c r="D3" s="139"/>
      <c r="E3" s="139"/>
      <c r="F3" s="139"/>
      <c r="G3" s="139"/>
    </row>
    <row r="5" spans="2:7" ht="24.75" customHeight="1">
      <c r="B5" s="140" t="s">
        <v>194</v>
      </c>
      <c r="C5" s="140"/>
      <c r="D5" s="140"/>
      <c r="E5" s="140"/>
      <c r="F5" s="140"/>
      <c r="G5" s="140"/>
    </row>
    <row r="7" spans="2:7" ht="61.5" customHeight="1">
      <c r="B7" s="141" t="s">
        <v>195</v>
      </c>
      <c r="C7" s="141"/>
      <c r="D7" s="141"/>
      <c r="E7" s="141"/>
      <c r="F7" s="141"/>
      <c r="G7" s="141"/>
    </row>
    <row r="9" spans="1:6" ht="12.75" customHeight="1">
      <c r="A9" s="142" t="s">
        <v>196</v>
      </c>
      <c r="B9" s="143" t="str">
        <f>IF(C41&lt;=0,$C$45,$C$46)</f>
        <v>Zwiększyć</v>
      </c>
      <c r="C9" s="144" t="s">
        <v>197</v>
      </c>
      <c r="D9" s="144"/>
      <c r="E9" s="144"/>
      <c r="F9" s="93">
        <f>'Ogółem Zmiany w paragrafach '!D65</f>
        <v>474879.61</v>
      </c>
    </row>
    <row r="10" ht="11.25" customHeight="1"/>
    <row r="11" spans="1:6" ht="12.75" customHeight="1">
      <c r="A11" s="142" t="s">
        <v>198</v>
      </c>
      <c r="B11" s="143" t="str">
        <f>IF(C42&lt;=0,$C$45,$C$46)</f>
        <v>Zwiększyć</v>
      </c>
      <c r="C11" s="144" t="s">
        <v>199</v>
      </c>
      <c r="D11" s="144"/>
      <c r="E11" s="144"/>
      <c r="F11" s="93">
        <f>'Ogółem Zmiany w paragrafach '!G65</f>
        <v>474879.61</v>
      </c>
    </row>
    <row r="12" ht="12.75" customHeight="1"/>
    <row r="13" spans="1:6" ht="12.75" customHeight="1">
      <c r="A13" s="142" t="s">
        <v>200</v>
      </c>
      <c r="B13" s="145" t="s">
        <v>201</v>
      </c>
      <c r="C13" s="145"/>
      <c r="D13" s="145"/>
      <c r="E13" s="145"/>
      <c r="F13" s="93">
        <f>zał2!F5</f>
        <v>80280638.61</v>
      </c>
    </row>
    <row r="14" spans="2:6" ht="12.75" customHeight="1">
      <c r="B14" s="145" t="s">
        <v>202</v>
      </c>
      <c r="C14" s="145"/>
      <c r="D14" s="145"/>
      <c r="E14" s="145"/>
      <c r="F14" s="93">
        <f>zał2!F6</f>
        <v>57648454.61</v>
      </c>
    </row>
    <row r="15" spans="2:6" ht="12.75" customHeight="1">
      <c r="B15" s="146" t="s">
        <v>203</v>
      </c>
      <c r="C15" s="146"/>
      <c r="D15" s="146"/>
      <c r="E15" s="146"/>
      <c r="F15" s="93">
        <f>zał2!F7</f>
        <v>22632184</v>
      </c>
    </row>
    <row r="16" ht="12.75">
      <c r="F16" s="93"/>
    </row>
    <row r="17" spans="1:6" ht="12.75" customHeight="1">
      <c r="A17" s="142" t="s">
        <v>204</v>
      </c>
      <c r="B17" s="145" t="s">
        <v>205</v>
      </c>
      <c r="C17" s="145"/>
      <c r="D17" s="145"/>
      <c r="E17" s="145"/>
      <c r="F17" s="93">
        <f>zał2!F9</f>
        <v>83323465.61</v>
      </c>
    </row>
    <row r="18" spans="2:6" ht="15" customHeight="1">
      <c r="B18" s="147" t="s">
        <v>206</v>
      </c>
      <c r="C18" s="147"/>
      <c r="D18" s="147"/>
      <c r="E18" s="147"/>
      <c r="F18" s="93">
        <f>zał2!F10</f>
        <v>58923494.61</v>
      </c>
    </row>
    <row r="19" spans="2:6" ht="12.75" customHeight="1">
      <c r="B19" s="148" t="s">
        <v>207</v>
      </c>
      <c r="C19" s="148"/>
      <c r="D19" s="148"/>
      <c r="E19" s="148"/>
      <c r="F19" s="93">
        <f>zał2!F11</f>
        <v>24399971</v>
      </c>
    </row>
    <row r="21" spans="1:6" ht="24.75" customHeight="1">
      <c r="A21" s="149" t="s">
        <v>208</v>
      </c>
      <c r="B21" s="150" t="s">
        <v>209</v>
      </c>
      <c r="C21" s="150"/>
      <c r="D21" s="150"/>
      <c r="E21" s="150"/>
      <c r="F21" s="93">
        <v>15370</v>
      </c>
    </row>
    <row r="23" spans="1:6" ht="36.75" customHeight="1">
      <c r="A23" s="149" t="s">
        <v>210</v>
      </c>
      <c r="B23" s="150" t="s">
        <v>211</v>
      </c>
      <c r="C23" s="150"/>
      <c r="D23" s="150"/>
      <c r="E23" s="150"/>
      <c r="F23" s="93">
        <v>654000</v>
      </c>
    </row>
    <row r="25" spans="1:5" ht="12.75" customHeight="1">
      <c r="A25" s="149" t="s">
        <v>212</v>
      </c>
      <c r="B25" s="151" t="s">
        <v>213</v>
      </c>
      <c r="C25" s="151"/>
      <c r="D25" s="151"/>
      <c r="E25" s="151"/>
    </row>
    <row r="27" spans="1:7" ht="24.75" customHeight="1">
      <c r="A27" s="149" t="s">
        <v>214</v>
      </c>
      <c r="B27" s="152" t="s">
        <v>215</v>
      </c>
      <c r="C27" s="152"/>
      <c r="D27" s="152"/>
      <c r="E27" s="152"/>
      <c r="F27" s="152"/>
      <c r="G27" s="152"/>
    </row>
    <row r="30" spans="4:7" ht="12.75" customHeight="1">
      <c r="D30" s="153" t="s">
        <v>216</v>
      </c>
      <c r="E30" s="153"/>
      <c r="F30" s="153"/>
      <c r="G30" s="153"/>
    </row>
    <row r="32" spans="4:7" ht="12.75" customHeight="1">
      <c r="D32" s="153" t="s">
        <v>217</v>
      </c>
      <c r="E32" s="153"/>
      <c r="F32" s="153"/>
      <c r="G32" s="153"/>
    </row>
    <row r="33" ht="12.75">
      <c r="E33" s="154"/>
    </row>
    <row r="41" ht="12.75">
      <c r="C41" s="155">
        <f>'Ogółem Zmiany w paragrafach '!D61</f>
        <v>474879.61</v>
      </c>
    </row>
    <row r="42" ht="12.75">
      <c r="C42" s="155">
        <f>'Ogółem Zmiany w paragrafach '!G63</f>
        <v>474879.61</v>
      </c>
    </row>
    <row r="43" ht="12.75">
      <c r="C43" s="155"/>
    </row>
    <row r="44" ht="12.75">
      <c r="C44" s="155"/>
    </row>
    <row r="45" ht="12.75">
      <c r="C45" s="155" t="s">
        <v>218</v>
      </c>
    </row>
    <row r="46" ht="12.75">
      <c r="C46" s="155" t="s">
        <v>219</v>
      </c>
    </row>
  </sheetData>
  <sheetProtection selectLockedCells="1" selectUnlockedCells="1"/>
  <mergeCells count="19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E23"/>
    <mergeCell ref="B25:E25"/>
    <mergeCell ref="B27:G27"/>
    <mergeCell ref="D30:G30"/>
    <mergeCell ref="D32:G3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30" sqref="F30"/>
    </sheetView>
  </sheetViews>
  <sheetFormatPr defaultColWidth="12.57421875" defaultRowHeight="12.75"/>
  <cols>
    <col min="1" max="1" width="4.00390625" style="0" customWidth="1"/>
    <col min="2" max="4" width="11.57421875" style="0" customWidth="1"/>
    <col min="5" max="5" width="17.57421875" style="0" customWidth="1"/>
    <col min="6" max="6" width="16.28125" style="0" customWidth="1"/>
    <col min="7" max="16384" width="11.57421875" style="0" customWidth="1"/>
  </cols>
  <sheetData>
    <row r="1" spans="1:7" ht="12.75">
      <c r="A1" s="139" t="s">
        <v>220</v>
      </c>
      <c r="B1" s="139"/>
      <c r="C1" s="139"/>
      <c r="D1" s="139"/>
      <c r="E1" s="139"/>
      <c r="F1" s="139"/>
      <c r="G1" s="139"/>
    </row>
    <row r="2" spans="1:7" ht="12.75">
      <c r="A2" s="139" t="s">
        <v>63</v>
      </c>
      <c r="B2" s="139"/>
      <c r="C2" s="139"/>
      <c r="D2" s="139"/>
      <c r="E2" s="139"/>
      <c r="F2" s="139"/>
      <c r="G2" s="139"/>
    </row>
    <row r="3" spans="1:7" ht="12.75">
      <c r="A3" s="139" t="s">
        <v>221</v>
      </c>
      <c r="B3" s="139"/>
      <c r="C3" s="139"/>
      <c r="D3" s="139"/>
      <c r="E3" s="139"/>
      <c r="F3" s="139"/>
      <c r="G3" s="139"/>
    </row>
    <row r="5" spans="2:7" ht="24.75" customHeight="1">
      <c r="B5" s="140" t="s">
        <v>194</v>
      </c>
      <c r="C5" s="140"/>
      <c r="D5" s="140"/>
      <c r="E5" s="140"/>
      <c r="F5" s="140"/>
      <c r="G5" s="140"/>
    </row>
    <row r="7" spans="2:7" ht="30.75" customHeight="1">
      <c r="B7" s="156" t="s">
        <v>222</v>
      </c>
      <c r="C7" s="156"/>
      <c r="D7" s="156"/>
      <c r="E7" s="156"/>
      <c r="F7" s="156"/>
      <c r="G7" s="156"/>
    </row>
    <row r="8" s="155" customFormat="1" ht="10.5" customHeight="1"/>
    <row r="9" spans="1:6" s="155" customFormat="1" ht="18" customHeight="1">
      <c r="A9" s="157" t="s">
        <v>196</v>
      </c>
      <c r="B9" s="158" t="str">
        <f>'Uchwała '!B9</f>
        <v>Zwiększyć</v>
      </c>
      <c r="C9" s="159" t="s">
        <v>197</v>
      </c>
      <c r="D9" s="159"/>
      <c r="E9" s="159"/>
      <c r="F9" s="160">
        <f>'Ogółem Zmiany w paragrafach '!D65</f>
        <v>474879.61</v>
      </c>
    </row>
    <row r="10" s="155" customFormat="1" ht="10.5" customHeight="1"/>
    <row r="11" spans="1:6" s="155" customFormat="1" ht="18" customHeight="1">
      <c r="A11" s="157" t="s">
        <v>198</v>
      </c>
      <c r="B11" s="158" t="str">
        <f>'Uchwała '!B11</f>
        <v>Zwiększyć</v>
      </c>
      <c r="C11" s="159" t="s">
        <v>199</v>
      </c>
      <c r="D11" s="159"/>
      <c r="E11" s="159"/>
      <c r="F11" s="160">
        <f>'Ogółem Zmiany w paragrafach '!G65</f>
        <v>474879.61</v>
      </c>
    </row>
    <row r="12" s="155" customFormat="1" ht="11.25" customHeight="1"/>
    <row r="13" spans="1:6" s="155" customFormat="1" ht="18" customHeight="1">
      <c r="A13" s="157" t="s">
        <v>200</v>
      </c>
      <c r="B13" s="161" t="s">
        <v>201</v>
      </c>
      <c r="C13" s="161"/>
      <c r="D13" s="161"/>
      <c r="E13" s="161"/>
      <c r="F13" s="160">
        <f>zał2!F5</f>
        <v>80280638.61</v>
      </c>
    </row>
    <row r="14" spans="2:6" s="155" customFormat="1" ht="18" customHeight="1">
      <c r="B14" s="161" t="s">
        <v>202</v>
      </c>
      <c r="C14" s="161"/>
      <c r="D14" s="161"/>
      <c r="E14" s="161"/>
      <c r="F14" s="160">
        <f>zał2!F6</f>
        <v>57648454.61</v>
      </c>
    </row>
    <row r="15" spans="2:6" s="155" customFormat="1" ht="18.75" customHeight="1">
      <c r="B15" s="162" t="s">
        <v>203</v>
      </c>
      <c r="C15" s="162"/>
      <c r="D15" s="162"/>
      <c r="E15" s="162"/>
      <c r="F15" s="160">
        <f>zał2!F7</f>
        <v>22632184</v>
      </c>
    </row>
    <row r="16" s="155" customFormat="1" ht="12" customHeight="1">
      <c r="F16" s="160"/>
    </row>
    <row r="17" spans="1:6" s="155" customFormat="1" ht="18" customHeight="1">
      <c r="A17" s="157" t="s">
        <v>204</v>
      </c>
      <c r="B17" s="161" t="s">
        <v>205</v>
      </c>
      <c r="C17" s="161"/>
      <c r="D17" s="161"/>
      <c r="E17" s="161"/>
      <c r="F17" s="160">
        <f>zał2!F9</f>
        <v>83323465.61</v>
      </c>
    </row>
    <row r="18" spans="2:6" s="155" customFormat="1" ht="21" customHeight="1">
      <c r="B18" s="163" t="s">
        <v>206</v>
      </c>
      <c r="C18" s="163"/>
      <c r="D18" s="163"/>
      <c r="E18" s="163"/>
      <c r="F18" s="160">
        <f>zał2!F10</f>
        <v>58923494.61</v>
      </c>
    </row>
    <row r="19" spans="2:6" s="155" customFormat="1" ht="18.75" customHeight="1">
      <c r="B19" s="164" t="s">
        <v>207</v>
      </c>
      <c r="C19" s="164"/>
      <c r="D19" s="164"/>
      <c r="E19" s="164"/>
      <c r="F19" s="160">
        <f>zał2!F11</f>
        <v>24399971</v>
      </c>
    </row>
    <row r="21" spans="1:7" ht="24.75" customHeight="1">
      <c r="A21" s="149" t="s">
        <v>208</v>
      </c>
      <c r="B21" s="165" t="s">
        <v>223</v>
      </c>
      <c r="C21" s="165"/>
      <c r="D21" s="165"/>
      <c r="E21" s="165"/>
      <c r="F21" s="165"/>
      <c r="G21" s="165"/>
    </row>
    <row r="24" spans="4:7" ht="12.75" customHeight="1">
      <c r="D24" s="153" t="s">
        <v>224</v>
      </c>
      <c r="E24" s="153"/>
      <c r="F24" s="153"/>
      <c r="G24" s="153"/>
    </row>
    <row r="26" spans="4:7" ht="12.75" customHeight="1">
      <c r="D26" s="153" t="s">
        <v>225</v>
      </c>
      <c r="E26" s="153"/>
      <c r="F26" s="153"/>
      <c r="G26" s="153"/>
    </row>
  </sheetData>
  <sheetProtection selectLockedCells="1" selectUnlockedCells="1"/>
  <mergeCells count="16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O15" sqref="O15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66" t="s">
        <v>226</v>
      </c>
      <c r="B1" s="166"/>
      <c r="C1" s="166"/>
      <c r="D1" s="166"/>
      <c r="E1" s="166"/>
      <c r="F1" s="166"/>
      <c r="G1" s="166"/>
      <c r="H1" s="166"/>
    </row>
    <row r="2" spans="1:8" ht="12.75">
      <c r="A2" s="133"/>
      <c r="B2" s="133"/>
      <c r="C2" s="167" t="s">
        <v>227</v>
      </c>
      <c r="D2" s="167"/>
      <c r="E2" s="167"/>
      <c r="F2" s="167" t="s">
        <v>228</v>
      </c>
      <c r="G2" s="167"/>
      <c r="H2" s="167"/>
    </row>
    <row r="3" spans="1:15" ht="65.25" customHeight="1">
      <c r="A3" s="168" t="s">
        <v>229</v>
      </c>
      <c r="B3" s="168" t="s">
        <v>230</v>
      </c>
      <c r="C3" s="169" t="s">
        <v>231</v>
      </c>
      <c r="D3" s="168" t="s">
        <v>232</v>
      </c>
      <c r="E3" s="168" t="s">
        <v>233</v>
      </c>
      <c r="F3" s="169" t="s">
        <v>231</v>
      </c>
      <c r="G3" s="168" t="s">
        <v>232</v>
      </c>
      <c r="H3" s="168" t="s">
        <v>233</v>
      </c>
      <c r="I3" s="170"/>
      <c r="J3" s="170"/>
      <c r="K3" s="171"/>
      <c r="L3" s="172" t="s">
        <v>234</v>
      </c>
      <c r="M3" s="172" t="s">
        <v>234</v>
      </c>
      <c r="N3" s="172" t="s">
        <v>235</v>
      </c>
      <c r="O3" s="172"/>
    </row>
    <row r="4" spans="1:15" ht="12.75">
      <c r="A4" s="173"/>
      <c r="B4" s="174"/>
      <c r="C4" s="174"/>
      <c r="D4" s="175"/>
      <c r="E4" s="175"/>
      <c r="F4" s="176"/>
      <c r="G4" s="175"/>
      <c r="H4" s="175"/>
      <c r="L4" s="177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77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77">
        <f>IF($B4=75022,G4,0)+IF($B4=75023,G4,0)</f>
        <v>0</v>
      </c>
      <c r="O4" s="177">
        <f>IF($B4=75022,H4,0)+IF($B4=75023,H4,0)</f>
        <v>0</v>
      </c>
    </row>
    <row r="5" spans="1:15" ht="12.75">
      <c r="A5" s="173" t="s">
        <v>236</v>
      </c>
      <c r="B5" s="174"/>
      <c r="C5" s="174"/>
      <c r="D5" s="175"/>
      <c r="E5" s="175"/>
      <c r="F5" s="176"/>
      <c r="G5" s="175"/>
      <c r="H5" s="175"/>
      <c r="I5" s="178"/>
      <c r="L5" s="177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77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77">
        <f>IF($B5=75022,G5,0)+IF($B5=75023,G5,0)</f>
        <v>0</v>
      </c>
      <c r="O5" s="177">
        <f>IF($B5=75022,H5,0)+IF($B5=75023,H5,0)</f>
        <v>0</v>
      </c>
    </row>
    <row r="6" spans="1:15" ht="12.75">
      <c r="A6" s="173"/>
      <c r="B6" s="174" t="s">
        <v>237</v>
      </c>
      <c r="C6" s="174"/>
      <c r="D6" s="175"/>
      <c r="E6" s="175"/>
      <c r="F6" s="176">
        <v>6057</v>
      </c>
      <c r="G6" s="175">
        <v>54056</v>
      </c>
      <c r="H6" s="175"/>
      <c r="I6" s="178"/>
      <c r="L6" s="177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77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77">
        <f>IF($B6=75022,G6,0)+IF($B6=75023,G6,0)</f>
        <v>0</v>
      </c>
      <c r="O6" s="177">
        <f>IF($B6=75022,H6,0)+IF($B6=75023,H6,0)</f>
        <v>0</v>
      </c>
    </row>
    <row r="7" spans="1:15" ht="12.75">
      <c r="A7" s="173"/>
      <c r="B7" s="174"/>
      <c r="C7" s="174"/>
      <c r="D7" s="175"/>
      <c r="E7" s="175"/>
      <c r="F7" s="176">
        <v>6059</v>
      </c>
      <c r="G7" s="175"/>
      <c r="H7" s="175">
        <v>54056</v>
      </c>
      <c r="I7" s="178"/>
      <c r="L7" s="177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77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77">
        <f>IF($B7=75022,G7,0)+IF($B7=75023,G7,0)</f>
        <v>0</v>
      </c>
      <c r="O7" s="177">
        <f>IF($B7=75022,H7,0)+IF($B7=75023,H7,0)</f>
        <v>0</v>
      </c>
    </row>
    <row r="8" spans="1:15" ht="12.75">
      <c r="A8" s="173"/>
      <c r="B8" s="174" t="s">
        <v>238</v>
      </c>
      <c r="C8" s="174" t="s">
        <v>239</v>
      </c>
      <c r="D8" s="175"/>
      <c r="E8" s="175">
        <v>314869.61</v>
      </c>
      <c r="F8" s="176">
        <v>4110</v>
      </c>
      <c r="G8" s="175"/>
      <c r="H8" s="179">
        <v>1044.15</v>
      </c>
      <c r="I8" s="178"/>
      <c r="L8" s="177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77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1044.15</v>
      </c>
      <c r="N8" s="177">
        <f>IF($B8=75022,G8,0)+IF($B8=75023,G8,0)</f>
        <v>0</v>
      </c>
      <c r="O8" s="177">
        <f>IF($B8=75022,H8,0)+IF($B8=75023,H8,0)</f>
        <v>0</v>
      </c>
    </row>
    <row r="9" spans="1:15" ht="12.75">
      <c r="A9" s="173"/>
      <c r="B9" s="174"/>
      <c r="C9" s="174"/>
      <c r="D9" s="175"/>
      <c r="E9" s="175"/>
      <c r="F9" s="176">
        <v>4120</v>
      </c>
      <c r="G9" s="175"/>
      <c r="H9" s="179">
        <v>148.82</v>
      </c>
      <c r="I9" s="178"/>
      <c r="L9" s="177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77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148.82</v>
      </c>
      <c r="N9" s="177">
        <f>IF($B9=75022,G9,0)+IF($B9=75023,G9,0)</f>
        <v>0</v>
      </c>
      <c r="O9" s="177">
        <f>IF($B9=75022,H9,0)+IF($B9=75023,H9,0)</f>
        <v>0</v>
      </c>
    </row>
    <row r="10" spans="1:15" ht="12.75">
      <c r="A10" s="173"/>
      <c r="B10" s="174"/>
      <c r="C10" s="174"/>
      <c r="D10" s="175"/>
      <c r="E10" s="175"/>
      <c r="F10" s="176">
        <v>4170</v>
      </c>
      <c r="G10" s="175"/>
      <c r="H10" s="179">
        <v>4881.03</v>
      </c>
      <c r="I10" s="178"/>
      <c r="L10" s="177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77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4881.03</v>
      </c>
      <c r="N10" s="177">
        <f>IF($B10=75022,G10,0)+IF($B10=75023,G10,0)</f>
        <v>0</v>
      </c>
      <c r="O10" s="177">
        <f>IF($B10=75022,H10,0)+IF($B10=75023,H10,0)</f>
        <v>0</v>
      </c>
    </row>
    <row r="11" spans="1:15" ht="12.75">
      <c r="A11" s="173"/>
      <c r="B11" s="174"/>
      <c r="C11" s="174"/>
      <c r="D11" s="175"/>
      <c r="E11" s="175"/>
      <c r="F11" s="176">
        <v>4210</v>
      </c>
      <c r="G11" s="175"/>
      <c r="H11" s="179">
        <v>99.91</v>
      </c>
      <c r="I11" s="178"/>
      <c r="L11" s="177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77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77">
        <f>IF($B11=75022,G11,0)+IF($B11=75023,G11,0)</f>
        <v>0</v>
      </c>
      <c r="O11" s="177">
        <f>IF($B11=75022,H11,0)+IF($B11=75023,H11,0)</f>
        <v>0</v>
      </c>
    </row>
    <row r="12" spans="1:15" ht="12.75">
      <c r="A12" s="173"/>
      <c r="B12" s="174"/>
      <c r="C12" s="174"/>
      <c r="D12" s="175"/>
      <c r="E12" s="175"/>
      <c r="F12" s="176">
        <v>4430</v>
      </c>
      <c r="G12" s="175"/>
      <c r="H12" s="175">
        <v>308695.7</v>
      </c>
      <c r="I12" s="178"/>
      <c r="L12" s="177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77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77">
        <f>IF($B12=75022,G12,0)+IF($B12=75023,G12,0)</f>
        <v>0</v>
      </c>
      <c r="O12" s="177">
        <f>IF($B12=75022,H12,0)+IF($B12=75023,H12,0)</f>
        <v>0</v>
      </c>
    </row>
    <row r="13" spans="1:15" ht="12.75">
      <c r="A13" s="173"/>
      <c r="B13" s="174" t="s">
        <v>240</v>
      </c>
      <c r="C13" s="174"/>
      <c r="D13" s="175"/>
      <c r="E13" s="175"/>
      <c r="F13" s="176">
        <v>4117</v>
      </c>
      <c r="G13" s="175"/>
      <c r="H13" s="175">
        <v>64</v>
      </c>
      <c r="I13" s="178"/>
      <c r="L13" s="177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77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64</v>
      </c>
      <c r="N13" s="177">
        <f>IF($B13=75022,G13,0)+IF($B13=75023,G13,0)</f>
        <v>0</v>
      </c>
      <c r="O13" s="177">
        <f>IF($B13=75022,H13,0)+IF($B13=75023,H13,0)</f>
        <v>0</v>
      </c>
    </row>
    <row r="14" spans="1:15" ht="12.75">
      <c r="A14" s="173"/>
      <c r="B14" s="174"/>
      <c r="C14" s="174"/>
      <c r="D14" s="175"/>
      <c r="E14" s="175"/>
      <c r="F14" s="176">
        <v>4417</v>
      </c>
      <c r="G14" s="175">
        <v>64</v>
      </c>
      <c r="H14" s="175"/>
      <c r="I14" s="178"/>
      <c r="L14" s="177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77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77">
        <f>IF($B14=75022,G14,0)+IF($B14=75023,G14,0)</f>
        <v>0</v>
      </c>
      <c r="O14" s="177">
        <f>IF($B14=75022,H14,0)+IF($B14=75023,H14,0)</f>
        <v>0</v>
      </c>
    </row>
    <row r="15" spans="1:15" ht="12.75">
      <c r="A15" s="173"/>
      <c r="B15" s="174" t="s">
        <v>241</v>
      </c>
      <c r="C15" s="174"/>
      <c r="D15" s="175"/>
      <c r="E15" s="175"/>
      <c r="F15" s="176">
        <v>4410</v>
      </c>
      <c r="G15" s="175"/>
      <c r="H15" s="175">
        <v>1500</v>
      </c>
      <c r="I15" s="178"/>
      <c r="L15" s="177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77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77">
        <f>IF($B15=75022,G15,0)+IF($B15=75023,G15,0)</f>
        <v>0</v>
      </c>
      <c r="O15" s="177">
        <f>IF($B15=75022,H15,0)+IF($B15=75023,H15,0)</f>
        <v>0</v>
      </c>
    </row>
    <row r="16" spans="1:15" ht="12.75">
      <c r="A16" s="173"/>
      <c r="B16" s="174"/>
      <c r="C16" s="174"/>
      <c r="D16" s="175"/>
      <c r="E16" s="175"/>
      <c r="F16" s="176">
        <v>4700</v>
      </c>
      <c r="G16" s="175">
        <v>1500</v>
      </c>
      <c r="H16" s="175"/>
      <c r="I16" s="178"/>
      <c r="L16" s="177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77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0</v>
      </c>
      <c r="N16" s="177">
        <f>IF($B16=75022,G16,0)+IF($B16=75023,G16,0)</f>
        <v>0</v>
      </c>
      <c r="O16" s="177">
        <f>IF($B16=75022,H16,0)+IF($B16=75023,H16,0)</f>
        <v>0</v>
      </c>
    </row>
    <row r="17" spans="1:15" ht="12.75">
      <c r="A17" s="173"/>
      <c r="B17" s="174" t="s">
        <v>242</v>
      </c>
      <c r="C17" s="174"/>
      <c r="D17" s="175"/>
      <c r="E17" s="175"/>
      <c r="F17" s="176">
        <v>4210</v>
      </c>
      <c r="G17" s="175"/>
      <c r="H17" s="175">
        <v>800</v>
      </c>
      <c r="I17" s="178"/>
      <c r="L17" s="177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77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77">
        <f>IF($B17=75022,G17,0)+IF($B17=75023,G17,0)</f>
        <v>0</v>
      </c>
      <c r="O17" s="177">
        <f>IF($B17=75022,H17,0)+IF($B17=75023,H17,0)</f>
        <v>0</v>
      </c>
    </row>
    <row r="18" spans="1:15" ht="12.75">
      <c r="A18" s="173"/>
      <c r="B18" s="174"/>
      <c r="C18" s="174"/>
      <c r="D18" s="175"/>
      <c r="E18" s="175"/>
      <c r="F18" s="176">
        <v>4370</v>
      </c>
      <c r="G18" s="175">
        <v>800</v>
      </c>
      <c r="H18" s="175"/>
      <c r="I18" s="178"/>
      <c r="L18" s="177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77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77">
        <f>IF($B18=75022,G18,0)+IF($B18=75023,G18,0)</f>
        <v>0</v>
      </c>
      <c r="O18" s="177">
        <f>IF($B18=75022,H18,0)+IF($B18=75023,H18,0)</f>
        <v>0</v>
      </c>
    </row>
    <row r="19" spans="1:15" ht="12.75">
      <c r="A19" s="173"/>
      <c r="B19" s="174" t="s">
        <v>243</v>
      </c>
      <c r="C19" s="174" t="s">
        <v>244</v>
      </c>
      <c r="D19" s="175"/>
      <c r="E19" s="175">
        <v>160010</v>
      </c>
      <c r="F19" s="176">
        <v>3240</v>
      </c>
      <c r="G19" s="175"/>
      <c r="H19" s="175">
        <v>160010</v>
      </c>
      <c r="I19" s="178"/>
      <c r="L19" s="177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77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77">
        <f>IF($B19=75022,G19,0)+IF($B19=75023,G19,0)</f>
        <v>0</v>
      </c>
      <c r="O19" s="177">
        <f>IF($B19=75022,H19,0)+IF($B19=75023,H19,0)</f>
        <v>0</v>
      </c>
    </row>
    <row r="20" spans="1:15" ht="12.75">
      <c r="A20" s="173"/>
      <c r="B20" s="174" t="s">
        <v>245</v>
      </c>
      <c r="C20" s="174"/>
      <c r="D20" s="175"/>
      <c r="E20" s="175"/>
      <c r="F20" s="176">
        <v>2430</v>
      </c>
      <c r="G20" s="175"/>
      <c r="H20" s="175">
        <v>1</v>
      </c>
      <c r="I20" s="178"/>
      <c r="L20" s="177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77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77">
        <f>IF($B20=75022,G20,0)+IF($B20=75023,G20,0)</f>
        <v>0</v>
      </c>
      <c r="O20" s="177">
        <f>IF($B20=75022,H20,0)+IF($B20=75023,H20,0)</f>
        <v>0</v>
      </c>
    </row>
    <row r="21" spans="1:15" ht="12.75">
      <c r="A21" s="173"/>
      <c r="B21" s="174"/>
      <c r="C21" s="174"/>
      <c r="D21" s="175"/>
      <c r="E21" s="175"/>
      <c r="F21" s="176">
        <v>4270</v>
      </c>
      <c r="G21" s="175">
        <v>1</v>
      </c>
      <c r="H21" s="175"/>
      <c r="I21" s="178"/>
      <c r="L21" s="177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77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77">
        <f>IF($B21=75022,G21,0)+IF($B21=75023,G21,0)</f>
        <v>0</v>
      </c>
      <c r="O21" s="177">
        <f>IF($B21=75022,H21,0)+IF($B21=75023,H21,0)</f>
        <v>0</v>
      </c>
    </row>
    <row r="22" spans="1:15" ht="12.75">
      <c r="A22" s="173"/>
      <c r="B22" s="174" t="s">
        <v>246</v>
      </c>
      <c r="C22" s="174"/>
      <c r="D22" s="175"/>
      <c r="E22" s="175"/>
      <c r="F22" s="176">
        <v>4260</v>
      </c>
      <c r="G22" s="175"/>
      <c r="H22" s="175">
        <v>15000</v>
      </c>
      <c r="I22" s="178"/>
      <c r="L22" s="177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77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77">
        <f>IF($B22=75022,G22,0)+IF($B22=75023,G22,0)</f>
        <v>0</v>
      </c>
      <c r="O22" s="177">
        <f>IF($B22=75022,H22,0)+IF($B22=75023,H22,0)</f>
        <v>0</v>
      </c>
    </row>
    <row r="23" spans="1:15" ht="12.75">
      <c r="A23" s="173"/>
      <c r="B23" s="174"/>
      <c r="C23" s="174"/>
      <c r="D23" s="175"/>
      <c r="E23" s="175"/>
      <c r="F23" s="176">
        <v>4300</v>
      </c>
      <c r="G23" s="175">
        <v>15000</v>
      </c>
      <c r="H23" s="175"/>
      <c r="L23" s="177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77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77">
        <f>IF($B23=75022,G23,0)+IF($B23=75023,G23,0)</f>
        <v>0</v>
      </c>
      <c r="O23" s="177">
        <f>IF($B23=75022,H23,0)+IF($B23=75023,H23,0)</f>
        <v>0</v>
      </c>
    </row>
    <row r="24" spans="1:15" ht="12.75">
      <c r="A24" s="173"/>
      <c r="B24" s="174"/>
      <c r="C24" s="174"/>
      <c r="D24" s="175"/>
      <c r="E24" s="175"/>
      <c r="F24" s="176"/>
      <c r="G24" s="175"/>
      <c r="H24" s="175"/>
      <c r="L24" s="177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77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77">
        <f>IF($B24=75022,G24,0)+IF($B24=75023,G24,0)</f>
        <v>0</v>
      </c>
      <c r="O24" s="177">
        <f>IF($B24=75022,H24,0)+IF($B24=75023,H24,0)</f>
        <v>0</v>
      </c>
    </row>
    <row r="25" spans="1:15" ht="12.75">
      <c r="A25" s="173"/>
      <c r="B25" s="174"/>
      <c r="C25" s="174"/>
      <c r="D25" s="175"/>
      <c r="E25" s="175"/>
      <c r="F25" s="176"/>
      <c r="G25" s="175"/>
      <c r="H25" s="175"/>
      <c r="L25" s="177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77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77">
        <f>IF($B25=75022,G25,0)+IF($B25=75023,G25,0)</f>
        <v>0</v>
      </c>
      <c r="O25" s="177">
        <f>IF($B25=75022,H25,0)+IF($B25=75023,H25,0)</f>
        <v>0</v>
      </c>
    </row>
    <row r="26" spans="1:15" ht="12.75">
      <c r="A26" s="173"/>
      <c r="B26" s="174"/>
      <c r="C26" s="180"/>
      <c r="D26" s="175"/>
      <c r="E26" s="175"/>
      <c r="F26" s="176"/>
      <c r="G26" s="175"/>
      <c r="H26" s="175"/>
      <c r="L26" s="177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77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77">
        <f>IF($B26=75022,G26,0)+IF($B26=75023,G26,0)</f>
        <v>0</v>
      </c>
      <c r="O26" s="177">
        <f>IF($B26=75022,H26,0)+IF($B26=75023,H26,0)</f>
        <v>0</v>
      </c>
    </row>
    <row r="27" spans="1:15" ht="12.75">
      <c r="A27" s="173"/>
      <c r="B27" s="174"/>
      <c r="C27" s="180"/>
      <c r="D27" s="175"/>
      <c r="E27" s="175"/>
      <c r="F27" s="176"/>
      <c r="G27" s="175"/>
      <c r="H27" s="175"/>
      <c r="I27" s="146"/>
      <c r="J27" s="146"/>
      <c r="L27" s="177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77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77">
        <f>IF($B27=75022,G27,0)+IF($B27=75023,G27,0)</f>
        <v>0</v>
      </c>
      <c r="O27" s="177">
        <f>IF($B27=75022,H27,0)+IF($B27=75023,H27,0)</f>
        <v>0</v>
      </c>
    </row>
    <row r="28" spans="1:15" ht="12.75">
      <c r="A28" s="173"/>
      <c r="B28" s="181"/>
      <c r="C28" s="174"/>
      <c r="D28" s="182"/>
      <c r="E28" s="182"/>
      <c r="F28" s="183"/>
      <c r="G28" s="182"/>
      <c r="H28" s="182"/>
      <c r="L28" s="177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77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77">
        <f>IF($B28=75022,G28,0)+IF($B28=75023,G28,0)</f>
        <v>0</v>
      </c>
      <c r="O28" s="177">
        <f>IF($B28=75022,H28,0)+IF($B28=75023,H28,0)</f>
        <v>0</v>
      </c>
    </row>
    <row r="29" spans="1:15" ht="12.75">
      <c r="A29" s="173"/>
      <c r="B29" s="174"/>
      <c r="C29" s="184"/>
      <c r="D29" s="182"/>
      <c r="E29" s="185"/>
      <c r="F29" s="183"/>
      <c r="G29" s="182"/>
      <c r="H29" s="175"/>
      <c r="L29" s="177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77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77">
        <f>IF($B29=75022,G29,0)+IF($B29=75023,G29,0)</f>
        <v>0</v>
      </c>
      <c r="O29" s="177">
        <f>IF($B29=75022,H29,0)+IF($B29=75023,H29,0)</f>
        <v>0</v>
      </c>
    </row>
    <row r="30" spans="1:15" ht="12.75">
      <c r="A30" s="173"/>
      <c r="B30" s="181"/>
      <c r="C30" s="174"/>
      <c r="D30" s="182"/>
      <c r="E30" s="182"/>
      <c r="F30" s="183"/>
      <c r="G30" s="182"/>
      <c r="H30" s="182"/>
      <c r="L30" s="177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77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0</v>
      </c>
      <c r="N30" s="177">
        <f>IF($B30=75022,G30,0)+IF($B30=75023,G30,0)</f>
        <v>0</v>
      </c>
      <c r="O30" s="177">
        <f>IF($B30=75022,H30,0)+IF($B30=75023,H30,0)</f>
        <v>0</v>
      </c>
    </row>
    <row r="31" spans="1:15" ht="12.75">
      <c r="A31" s="173"/>
      <c r="B31" s="174"/>
      <c r="C31" s="174"/>
      <c r="D31" s="175"/>
      <c r="E31" s="175"/>
      <c r="F31" s="176"/>
      <c r="G31" s="175"/>
      <c r="H31" s="175"/>
      <c r="L31" s="177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77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77">
        <f>IF($B31=75022,G31,0)+IF($B31=75023,G31,0)</f>
        <v>0</v>
      </c>
      <c r="O31" s="177">
        <f>IF($B31=75022,H31,0)+IF($B31=75023,H31,0)</f>
        <v>0</v>
      </c>
    </row>
    <row r="32" spans="1:15" ht="12.75">
      <c r="A32" s="173"/>
      <c r="B32" s="181"/>
      <c r="C32" s="186"/>
      <c r="D32" s="182"/>
      <c r="E32" s="175"/>
      <c r="F32" s="176"/>
      <c r="G32" s="182"/>
      <c r="H32" s="175"/>
      <c r="L32" s="177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77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77">
        <f>IF($B32=75022,G32,0)+IF($B32=75023,G32,0)</f>
        <v>0</v>
      </c>
      <c r="O32" s="177">
        <f>IF($B32=75022,H32,0)+IF($B32=75023,H32,0)</f>
        <v>0</v>
      </c>
    </row>
    <row r="33" spans="1:15" ht="12.75">
      <c r="A33" s="173"/>
      <c r="B33" s="181"/>
      <c r="C33" s="186"/>
      <c r="D33" s="182"/>
      <c r="E33" s="175"/>
      <c r="F33" s="176"/>
      <c r="G33" s="182"/>
      <c r="H33" s="175"/>
      <c r="L33" s="177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77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77">
        <f>IF($B33=75022,G33,0)+IF($B33=75023,G33,0)</f>
        <v>0</v>
      </c>
      <c r="O33" s="177">
        <f>IF($B33=75022,H33,0)+IF($B33=75023,H33,0)</f>
        <v>0</v>
      </c>
    </row>
    <row r="34" spans="1:15" ht="12.75">
      <c r="A34" s="173"/>
      <c r="B34" s="181"/>
      <c r="C34" s="186"/>
      <c r="D34" s="182"/>
      <c r="E34" s="175"/>
      <c r="F34" s="176"/>
      <c r="G34" s="182"/>
      <c r="H34" s="175"/>
      <c r="L34" s="177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77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77">
        <f>IF($B34=75022,G34,0)+IF($B34=75023,G34,0)</f>
        <v>0</v>
      </c>
      <c r="O34" s="177">
        <f>IF($B34=75022,H34,0)+IF($B34=75023,H34,0)</f>
        <v>0</v>
      </c>
    </row>
    <row r="35" spans="1:15" ht="12.75">
      <c r="A35" s="173"/>
      <c r="B35" s="181"/>
      <c r="C35" s="186"/>
      <c r="D35" s="182"/>
      <c r="E35" s="175"/>
      <c r="F35" s="176"/>
      <c r="G35" s="182"/>
      <c r="H35" s="175"/>
      <c r="L35" s="177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77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0</v>
      </c>
      <c r="N35" s="177">
        <f>IF($B35=75022,G35,0)+IF($B35=75023,G35,0)</f>
        <v>0</v>
      </c>
      <c r="O35" s="177">
        <f>IF($B35=75022,H35,0)+IF($B35=75023,H35,0)</f>
        <v>0</v>
      </c>
    </row>
    <row r="36" spans="1:15" ht="12.75">
      <c r="A36" s="173"/>
      <c r="B36" s="181"/>
      <c r="C36" s="186"/>
      <c r="D36" s="182"/>
      <c r="E36" s="175"/>
      <c r="F36" s="183"/>
      <c r="G36" s="182"/>
      <c r="H36" s="175"/>
      <c r="L36" s="177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77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0</v>
      </c>
      <c r="N36" s="177">
        <f>IF($B36=75022,G36,0)+IF($B36=75023,G36,0)</f>
        <v>0</v>
      </c>
      <c r="O36" s="177">
        <f>IF($B36=75022,H36,0)+IF($B36=75023,H36,0)</f>
        <v>0</v>
      </c>
    </row>
    <row r="37" spans="1:15" ht="12.75">
      <c r="A37" s="173"/>
      <c r="B37" s="181"/>
      <c r="C37" s="186"/>
      <c r="D37" s="182"/>
      <c r="E37" s="175"/>
      <c r="F37" s="183"/>
      <c r="G37" s="182"/>
      <c r="H37" s="175"/>
      <c r="L37" s="177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77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77">
        <f>IF($B37=75022,G37,0)+IF($B37=75023,G37,0)</f>
        <v>0</v>
      </c>
      <c r="O37" s="177">
        <f>IF($B37=75022,H37,0)+IF($B37=75023,H37,0)</f>
        <v>0</v>
      </c>
    </row>
    <row r="38" spans="1:15" ht="12.75">
      <c r="A38" s="173"/>
      <c r="B38" s="181"/>
      <c r="C38" s="186"/>
      <c r="D38" s="182"/>
      <c r="E38" s="175"/>
      <c r="F38" s="183"/>
      <c r="G38" s="182"/>
      <c r="H38" s="175"/>
      <c r="L38" s="177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77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77">
        <f>IF($B38=75022,G38,0)+IF($B38=75023,G38,0)</f>
        <v>0</v>
      </c>
      <c r="O38" s="177">
        <f>IF($B38=75022,H38,0)+IF($B38=75023,H38,0)</f>
        <v>0</v>
      </c>
    </row>
    <row r="39" spans="1:15" ht="12.75">
      <c r="A39" s="173"/>
      <c r="B39" s="174"/>
      <c r="C39" s="187"/>
      <c r="D39" s="175"/>
      <c r="E39" s="175"/>
      <c r="F39" s="176"/>
      <c r="G39" s="175"/>
      <c r="H39" s="175"/>
      <c r="L39" s="177">
        <f>IF($F39=4170,G39,0)+IF($F39=4177,G39,0)+IF($F39=4179,G39,0)+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77">
        <f>IF($F39=4170,H39,0)+IF($F39=4177,H39,0)+IF($F39=4179,H39,0)+IF($F39=4010,H39,0)+IF($F39=4110,H39,0)+IF($F39=4120,H39,0)+IF($F39=4017,H39,0)+IF($F39=4117,H39,0)+IF($F39=4127,H39,0)+IF($F39=4019,H39,0)+IF($F39=4119,H39,0)+IF($F39=4129,H39,0)+IF($F39=4040,H39,0)+IF($F39=4047,H39,0)+IF($F39=4049,H39,0)</f>
        <v>0</v>
      </c>
      <c r="N39" s="177">
        <f>IF($B39=75022,G39,0)+IF($B39=75023,G39,0)</f>
        <v>0</v>
      </c>
      <c r="O39" s="177">
        <f>IF($B39=75022,H39,0)+IF($B39=75023,H39,0)</f>
        <v>0</v>
      </c>
    </row>
    <row r="40" spans="1:15" ht="12.75">
      <c r="A40" s="173"/>
      <c r="B40" s="174"/>
      <c r="C40" s="187"/>
      <c r="D40" s="175"/>
      <c r="E40" s="175"/>
      <c r="F40" s="176"/>
      <c r="G40" s="175"/>
      <c r="H40" s="175"/>
      <c r="L40" s="177">
        <f>IF($F40=4170,G40,0)+IF($F40=4177,G40,0)+IF($F40=4179,G40,0)+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77">
        <f>IF($F40=4170,H40,0)+IF($F40=4177,H40,0)+IF($F40=4179,H40,0)+IF($F40=4010,H40,0)+IF($F40=4110,H40,0)+IF($F40=4120,H40,0)+IF($F40=4017,H40,0)+IF($F40=4117,H40,0)+IF($F40=4127,H40,0)+IF($F40=4019,H40,0)+IF($F40=4119,H40,0)+IF($F40=4129,H40,0)+IF($F40=4040,H40,0)+IF($F40=4047,H40,0)+IF($F40=4049,H40,0)</f>
        <v>0</v>
      </c>
      <c r="N40" s="177">
        <f>IF($B40=75022,G40,0)+IF($B40=75023,G40,0)</f>
        <v>0</v>
      </c>
      <c r="O40" s="177">
        <f>IF($B40=75022,H40,0)+IF($B40=75023,H40,0)</f>
        <v>0</v>
      </c>
    </row>
    <row r="41" spans="1:15" ht="12.75">
      <c r="A41" s="173"/>
      <c r="B41" s="174"/>
      <c r="C41" s="187"/>
      <c r="D41" s="175"/>
      <c r="E41" s="175"/>
      <c r="F41" s="176"/>
      <c r="G41" s="175"/>
      <c r="H41" s="175"/>
      <c r="L41" s="177">
        <f>IF($F41=4170,G41,0)+IF($F41=4177,G41,0)+IF($F41=4179,G41,0)+IF($F41=4010,G41,0)+IF($F41=4110,G41,0)+IF($F41=4120,G41,0)+IF($F41=4017,G41,0)+IF($F41=4117,G41,0)+IF($F41=4127,G41,0)+IF($F41=4019,G41,0)+IF($F41=4119,G41,0)+IF($F41=4129,G41,0)+IF($F41=4040,G41,0)+IF($F41=4047,G41,0)+IF($F41=4049,G41,0)</f>
        <v>0</v>
      </c>
      <c r="M41" s="177">
        <f>IF($F41=4170,H41,0)+IF($F41=4177,H41,0)+IF($F41=4179,H41,0)+IF($F41=4010,H41,0)+IF($F41=4110,H41,0)+IF($F41=4120,H41,0)+IF($F41=4017,H41,0)+IF($F41=4117,H41,0)+IF($F41=4127,H41,0)+IF($F41=4019,H41,0)+IF($F41=4119,H41,0)+IF($F41=4129,H41,0)+IF($F41=4040,H41,0)+IF($F41=4047,H41,0)+IF($F41=4049,H41,0)</f>
        <v>0</v>
      </c>
      <c r="N41" s="177">
        <f>IF($B41=75022,G41,0)+IF($B41=75023,G41,0)</f>
        <v>0</v>
      </c>
      <c r="O41" s="177">
        <f>IF($B41=75022,H41,0)+IF($B41=75023,H41,0)</f>
        <v>0</v>
      </c>
    </row>
    <row r="42" spans="1:15" ht="12.75" customHeight="1">
      <c r="A42" s="173"/>
      <c r="B42" s="181"/>
      <c r="C42" s="186" t="s">
        <v>239</v>
      </c>
      <c r="D42" s="182"/>
      <c r="E42" s="182"/>
      <c r="F42" s="183"/>
      <c r="G42" s="182"/>
      <c r="H42" s="182"/>
      <c r="L42" s="177">
        <f>IF($F42=4170,G42,0)+IF($F42=4177,G42,0)+IF($F42=4179,G42,0)+IF($F42=4010,G42,0)+IF($F42=4110,G42,0)+IF($F42=4120,G42,0)+IF($F42=4017,G42,0)+IF($F42=4117,G42,0)+IF($F42=4127,G42,0)+IF($F42=4019,G42,0)+IF($F42=4119,G42,0)+IF($F42=4129,G42,0)+IF($F42=4040,G42,0)+IF($F42=4047,G42,0)+IF($F42=4049,G42,0)</f>
        <v>0</v>
      </c>
      <c r="M42" s="177">
        <f>IF($F42=4170,H42,0)+IF($F42=4177,H42,0)+IF($F42=4179,H42,0)+IF($F42=4010,H42,0)+IF($F42=4110,H42,0)+IF($F42=4120,H42,0)+IF($F42=4017,H42,0)+IF($F42=4117,H42,0)+IF($F42=4127,H42,0)+IF($F42=4019,H42,0)+IF($F42=4119,H42,0)+IF($F42=4129,H42,0)+IF($F42=4040,H42,0)+IF($F42=4047,H42,0)+IF($F42=4049,H42,0)</f>
        <v>0</v>
      </c>
      <c r="N42" s="177">
        <f>IF($B42=75022,G42,0)+IF($B42=75023,G42,0)</f>
        <v>0</v>
      </c>
      <c r="O42" s="177">
        <f>IF($B42=75022,H42,0)+IF($B42=75023,H42,0)</f>
        <v>0</v>
      </c>
    </row>
    <row r="43" spans="1:8" ht="12.75">
      <c r="A43" s="188" t="s">
        <v>247</v>
      </c>
      <c r="B43" s="189"/>
      <c r="C43" s="189"/>
      <c r="D43" s="190">
        <f>SUM(D4:D42)</f>
        <v>0</v>
      </c>
      <c r="E43" s="190">
        <f>SUM(E4:E42)</f>
        <v>474879.61</v>
      </c>
      <c r="F43" s="191"/>
      <c r="G43" s="190">
        <f>SUM(G4:G42)</f>
        <v>71421</v>
      </c>
      <c r="H43" s="190">
        <f>SUM(H4:H42)</f>
        <v>546300.61</v>
      </c>
    </row>
    <row r="44" spans="1:8" ht="15" customHeight="1">
      <c r="A44" s="192" t="s">
        <v>248</v>
      </c>
      <c r="B44" s="192" t="s">
        <v>249</v>
      </c>
      <c r="C44" s="193"/>
      <c r="D44" s="194">
        <f>SUM(E43-D43)</f>
        <v>474879.61</v>
      </c>
      <c r="E44" s="194"/>
      <c r="F44" s="193"/>
      <c r="G44" s="194">
        <f>SUM(H43-G43)</f>
        <v>474879.61</v>
      </c>
      <c r="H44" s="194"/>
    </row>
    <row r="45" spans="1:8" ht="12.75">
      <c r="A45" s="192"/>
      <c r="B45" s="192"/>
      <c r="C45" s="193"/>
      <c r="D45" s="194"/>
      <c r="E45" s="194"/>
      <c r="F45" s="193"/>
      <c r="G45" s="194"/>
      <c r="H45" s="194"/>
    </row>
    <row r="46" spans="1:4" ht="12.75">
      <c r="A46" s="195" t="s">
        <v>250</v>
      </c>
      <c r="B46" s="195"/>
      <c r="C46" s="195"/>
      <c r="D46" s="196">
        <f>SUM(G44-D44)</f>
        <v>0</v>
      </c>
    </row>
    <row r="47" spans="2:15" ht="15" customHeight="1">
      <c r="B47" s="176" t="s">
        <v>251</v>
      </c>
      <c r="C47" s="176"/>
      <c r="D47" s="176"/>
      <c r="E47" s="197" t="s">
        <v>252</v>
      </c>
      <c r="F47" s="197"/>
      <c r="G47" s="198">
        <f>L47</f>
        <v>0</v>
      </c>
      <c r="H47" s="199">
        <f>M47</f>
        <v>6138</v>
      </c>
      <c r="L47" s="200">
        <f>SUM(L4:L42)</f>
        <v>0</v>
      </c>
      <c r="M47" s="200">
        <f>SUM(M4:M42)</f>
        <v>6138</v>
      </c>
      <c r="N47" s="200">
        <f>SUM(N4:N42)</f>
        <v>0</v>
      </c>
      <c r="O47" s="200">
        <f>SUM(O4:O42)</f>
        <v>0</v>
      </c>
    </row>
    <row r="48" spans="2:8" ht="15" customHeight="1">
      <c r="B48" s="176" t="s">
        <v>253</v>
      </c>
      <c r="C48" s="176"/>
      <c r="D48" s="176"/>
      <c r="E48" s="201" t="s">
        <v>254</v>
      </c>
      <c r="F48" s="201"/>
      <c r="G48" s="202">
        <f>SUM(H47-G47)</f>
        <v>6138</v>
      </c>
      <c r="H48" s="202"/>
    </row>
    <row r="49" spans="2:6" ht="12.75">
      <c r="B49" s="176" t="s">
        <v>255</v>
      </c>
      <c r="C49" s="176"/>
      <c r="D49" s="176"/>
      <c r="E49" s="203" t="s">
        <v>256</v>
      </c>
      <c r="F49" s="203"/>
    </row>
    <row r="50" spans="2:8" ht="14.25" customHeight="1">
      <c r="B50" s="204" t="s">
        <v>257</v>
      </c>
      <c r="C50" s="204"/>
      <c r="D50" s="204"/>
      <c r="E50" s="197" t="s">
        <v>258</v>
      </c>
      <c r="F50" s="197"/>
      <c r="G50" s="198">
        <f>N47</f>
        <v>0</v>
      </c>
      <c r="H50" s="198">
        <f>O47</f>
        <v>0</v>
      </c>
    </row>
    <row r="51" spans="2:8" ht="12.75" customHeight="1">
      <c r="B51" s="204" t="s">
        <v>259</v>
      </c>
      <c r="C51" s="204"/>
      <c r="D51" s="204"/>
      <c r="E51" s="201" t="s">
        <v>254</v>
      </c>
      <c r="F51" s="201"/>
      <c r="G51" s="202">
        <f>SUM(H50-G50)</f>
        <v>0</v>
      </c>
      <c r="H51" s="202"/>
    </row>
    <row r="52" spans="2:8" ht="20.25" customHeight="1">
      <c r="B52" s="204" t="s">
        <v>260</v>
      </c>
      <c r="C52" s="204"/>
      <c r="D52" s="204"/>
      <c r="E52" s="205" t="s">
        <v>261</v>
      </c>
      <c r="F52" s="205"/>
      <c r="G52" s="133"/>
      <c r="H52" s="133"/>
    </row>
    <row r="53" spans="2:8" ht="19.5" customHeight="1">
      <c r="B53" s="206"/>
      <c r="C53" s="206"/>
      <c r="D53" s="206"/>
      <c r="E53" s="205"/>
      <c r="F53" s="205"/>
      <c r="G53" s="133"/>
      <c r="H53" s="133"/>
    </row>
    <row r="54" spans="2:5" ht="12.75" customHeight="1">
      <c r="B54" s="204"/>
      <c r="C54" s="204"/>
      <c r="D54" s="204"/>
      <c r="E54" t="s">
        <v>262</v>
      </c>
    </row>
    <row r="55" spans="4:8" ht="12.75" customHeight="1">
      <c r="D55" s="207" t="s">
        <v>263</v>
      </c>
      <c r="E55" s="207"/>
      <c r="G55" s="207" t="s">
        <v>264</v>
      </c>
      <c r="H55" s="207"/>
    </row>
    <row r="56" spans="4:8" ht="12.75">
      <c r="D56" s="208">
        <v>0</v>
      </c>
      <c r="E56" s="208">
        <f>SUM(E14)</f>
        <v>0</v>
      </c>
      <c r="G56" s="208">
        <f>SUM(G6)</f>
        <v>54056</v>
      </c>
      <c r="H56" s="208">
        <f>SUM(H7)</f>
        <v>54056</v>
      </c>
    </row>
    <row r="57" spans="1:8" ht="24.75" customHeight="1">
      <c r="A57" s="209" t="s">
        <v>265</v>
      </c>
      <c r="B57" s="209"/>
      <c r="C57" s="209"/>
      <c r="D57" s="210">
        <f>SUM(E56-D56)</f>
        <v>0</v>
      </c>
      <c r="E57" s="210"/>
      <c r="F57" s="211"/>
      <c r="G57" s="210">
        <f>SUM(H56-G56)</f>
        <v>0</v>
      </c>
      <c r="H57" s="210"/>
    </row>
    <row r="59" spans="4:8" ht="12.75" customHeight="1">
      <c r="D59" s="207" t="s">
        <v>266</v>
      </c>
      <c r="E59" s="207"/>
      <c r="G59" s="207" t="s">
        <v>267</v>
      </c>
      <c r="H59" s="207"/>
    </row>
    <row r="60" spans="4:8" ht="12.75">
      <c r="D60" s="212">
        <f>SUM(D43-D56)</f>
        <v>0</v>
      </c>
      <c r="E60" s="212">
        <f>SUM(E43-E56)</f>
        <v>474879.61</v>
      </c>
      <c r="G60" s="212">
        <f>SUM(G43-G56)</f>
        <v>17365</v>
      </c>
      <c r="H60" s="212">
        <f>SUM(H43-H56)</f>
        <v>492244.61</v>
      </c>
    </row>
    <row r="61" spans="1:8" ht="24.75" customHeight="1">
      <c r="A61" s="209" t="s">
        <v>265</v>
      </c>
      <c r="B61" s="209"/>
      <c r="C61" s="209"/>
      <c r="D61" s="210">
        <f>SUM(E60-D60)</f>
        <v>474879.61</v>
      </c>
      <c r="E61" s="210"/>
      <c r="F61" s="211"/>
      <c r="G61" s="210">
        <f>SUM(H60-G60)</f>
        <v>474879.61</v>
      </c>
      <c r="H61" s="210"/>
    </row>
    <row r="63" spans="2:8" ht="12.75">
      <c r="B63" s="213" t="s">
        <v>268</v>
      </c>
      <c r="C63" s="213"/>
      <c r="D63" s="214">
        <f>SUM(D57+D61)</f>
        <v>474879.61</v>
      </c>
      <c r="E63" s="214"/>
      <c r="F63" s="133"/>
      <c r="G63" s="214">
        <f>SUM(G57+G61)</f>
        <v>474879.61</v>
      </c>
      <c r="H63" s="214"/>
    </row>
    <row r="64" ht="12.75">
      <c r="F64" s="177">
        <f>SUM()</f>
        <v>0</v>
      </c>
    </row>
    <row r="65" spans="1:8" ht="24.75" customHeight="1">
      <c r="A65" s="215" t="s">
        <v>269</v>
      </c>
      <c r="B65" s="215"/>
      <c r="C65" s="215"/>
      <c r="D65" s="216">
        <f>ABS(D57+D61)</f>
        <v>474879.61</v>
      </c>
      <c r="E65" s="216"/>
      <c r="F65" s="133"/>
      <c r="G65" s="216">
        <f>ABS(G57+G61)</f>
        <v>474879.61</v>
      </c>
      <c r="H65" s="216"/>
    </row>
    <row r="73" ht="12.75">
      <c r="B73" s="217" t="s">
        <v>270</v>
      </c>
    </row>
  </sheetData>
  <sheetProtection selectLockedCells="1" selectUnlockedCells="1"/>
  <mergeCells count="40">
    <mergeCell ref="A1:H1"/>
    <mergeCell ref="C2:E2"/>
    <mergeCell ref="F2:H2"/>
    <mergeCell ref="L3:M3"/>
    <mergeCell ref="N3:O3"/>
    <mergeCell ref="D44:E44"/>
    <mergeCell ref="G44:H44"/>
    <mergeCell ref="A46:C46"/>
    <mergeCell ref="B47:D47"/>
    <mergeCell ref="E47:F47"/>
    <mergeCell ref="B48:D48"/>
    <mergeCell ref="E48:F48"/>
    <mergeCell ref="G48:H48"/>
    <mergeCell ref="B49:D49"/>
    <mergeCell ref="E49:F49"/>
    <mergeCell ref="B50:D50"/>
    <mergeCell ref="E50:F50"/>
    <mergeCell ref="B51:D51"/>
    <mergeCell ref="E51:F51"/>
    <mergeCell ref="G51:H51"/>
    <mergeCell ref="B52:D52"/>
    <mergeCell ref="E52:F52"/>
    <mergeCell ref="B53:D53"/>
    <mergeCell ref="B54:D54"/>
    <mergeCell ref="D55:E55"/>
    <mergeCell ref="G55:H55"/>
    <mergeCell ref="A57:C57"/>
    <mergeCell ref="D57:E57"/>
    <mergeCell ref="G57:H57"/>
    <mergeCell ref="D59:E59"/>
    <mergeCell ref="G59:H59"/>
    <mergeCell ref="A61:C61"/>
    <mergeCell ref="D61:E61"/>
    <mergeCell ref="G61:H61"/>
    <mergeCell ref="B63:C63"/>
    <mergeCell ref="D63:E63"/>
    <mergeCell ref="G63:H63"/>
    <mergeCell ref="A65:C65"/>
    <mergeCell ref="D65:E65"/>
    <mergeCell ref="G65:H65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2012-05-02T09:43:52Z</cp:lastPrinted>
  <dcterms:created xsi:type="dcterms:W3CDTF">2010-07-08T12:34:26Z</dcterms:created>
  <dcterms:modified xsi:type="dcterms:W3CDTF">2012-06-11T08:44:46Z</dcterms:modified>
  <cp:category/>
  <cp:version/>
  <cp:contentType/>
  <cp:contentStatus/>
  <cp:revision>127</cp:revision>
</cp:coreProperties>
</file>