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Zarz.Nr21A-XII-10 z 31-12-10" sheetId="1" r:id="rId1"/>
  </sheets>
  <definedNames>
    <definedName name="_xlnm.Print_Area" localSheetId="0">'Zarz.Nr21A-XII-10 z 31-12-10'!$A$1:$I$259</definedName>
    <definedName name="_xlnm._FilterDatabase" localSheetId="0" hidden="1">'Zarz.Nr21A-XII-10 z 31-12-10'!$A$8:$E$258</definedName>
    <definedName name="Excel_BuiltIn_Print_Area">'Zarz.Nr21A-XII-10 z 31-12-10'!$A$4:$I$259</definedName>
    <definedName name="Excel_BuiltIn_Print_Area_1_1">'Zarz.Nr21A-XII-10 z 31-12-10'!$A$5:$D$259</definedName>
    <definedName name="Excel_BuiltIn_Print_Area_1_1_1">#REF!</definedName>
    <definedName name="Excel_BuiltIn_Print_Area_1_1_11">#REF!</definedName>
  </definedNames>
  <calcPr fullCalcOnLoad="1"/>
</workbook>
</file>

<file path=xl/sharedStrings.xml><?xml version="1.0" encoding="utf-8"?>
<sst xmlns="http://schemas.openxmlformats.org/spreadsheetml/2006/main" count="347" uniqueCount="203">
  <si>
    <t>Załącznik Nr 1</t>
  </si>
  <si>
    <t>do Zarządzenia Nr 102/III/2010</t>
  </si>
  <si>
    <t xml:space="preserve">Burmistrza Gołdapi     </t>
  </si>
  <si>
    <t>z dnia 28 marca 2011 r</t>
  </si>
  <si>
    <t xml:space="preserve">Plan i wykonanie dochodów budżetowych na 2010 rok </t>
  </si>
  <si>
    <t>Klasyfikacja</t>
  </si>
  <si>
    <t>Wyszczególnienie</t>
  </si>
  <si>
    <t>Plan</t>
  </si>
  <si>
    <t>Wykonanie</t>
  </si>
  <si>
    <t>z tego</t>
  </si>
  <si>
    <t>NOWA</t>
  </si>
  <si>
    <t>nazwa, dział, rozdział</t>
  </si>
  <si>
    <t>2010 r.</t>
  </si>
  <si>
    <t xml:space="preserve">na </t>
  </si>
  <si>
    <t>bieżące</t>
  </si>
  <si>
    <t>majątkowe</t>
  </si>
  <si>
    <t>%</t>
  </si>
  <si>
    <t>Dz.</t>
  </si>
  <si>
    <t>Rozdz.</t>
  </si>
  <si>
    <t>§</t>
  </si>
  <si>
    <t>31-12-2010</t>
  </si>
  <si>
    <t>I. DOCHODY WŁASNE OGÓŁEM</t>
  </si>
  <si>
    <t>w tym:</t>
  </si>
  <si>
    <t>010</t>
  </si>
  <si>
    <t>Rolnictwo i łowiectwo</t>
  </si>
  <si>
    <t>01010</t>
  </si>
  <si>
    <t>Infrastruktura wodociągowa i sanitancyjna wsi</t>
  </si>
  <si>
    <t>0970</t>
  </si>
  <si>
    <t>wpływy z różnych dochodów</t>
  </si>
  <si>
    <t>020</t>
  </si>
  <si>
    <t>LEŚNICTWO</t>
  </si>
  <si>
    <t>02001</t>
  </si>
  <si>
    <t>gospodarka leśna</t>
  </si>
  <si>
    <t>0750</t>
  </si>
  <si>
    <t>dochody z najmu i dzierżawy składników majątkowych Skarbu Państwa lub jednostek samorządu terytorialnego oraz innych umów o podobnym charakterze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</si>
  <si>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</si>
  <si>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</si>
  <si>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</si>
  <si>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</si>
  <si>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</si>
  <si>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</si>
  <si>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</si>
  <si>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</si>
  <si>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0780</t>
  </si>
  <si>
    <t>dochody ze zbycia praw majątkowych</t>
  </si>
  <si>
    <t>0910</t>
  </si>
  <si>
    <t>odsetki od nieterminowych wpłat</t>
  </si>
  <si>
    <t>DZIAŁALNOŚĆ USŁUGOWA</t>
  </si>
  <si>
    <t>Cmentarze</t>
  </si>
  <si>
    <t>ADMINISTRACJA PUBLICZNA</t>
  </si>
  <si>
    <t>Urzędy wojewódzkie</t>
  </si>
  <si>
    <t>0690</t>
  </si>
  <si>
    <t>wpływy z różnych opłat</t>
  </si>
  <si>
    <t>Urzędy gmin (miast i miast na prawach powiatu)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</si>
  <si>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</si>
  <si>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</si>
  <si>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</si>
  <si>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</si>
  <si>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0830</t>
  </si>
  <si>
    <t>wpływy z usług</t>
  </si>
  <si>
    <t>Promocja jednostek samorządu terytorialnego</t>
  </si>
  <si>
    <t>0840</t>
  </si>
  <si>
    <t>wpływy ze sprzedaży wyrobów</t>
  </si>
  <si>
    <t>BEZPIECZEŃSTWO PUBLICZNE I OCHRONA PRZECIWPOŻAROWA</t>
  </si>
  <si>
    <t>Ochotnicze straże pożarne</t>
  </si>
  <si>
    <t>straż miejska</t>
  </si>
  <si>
    <t>0570</t>
  </si>
  <si>
    <t>grzywny, mandaty i inne kary pieniężne od ludności</t>
  </si>
  <si>
    <t>pozostała działalność</t>
  </si>
  <si>
    <t>DOCHODY OD OSÓB PRAWNYCH, OD OSÓB FIZYCZNYCH I INNYCH JEDNOSTEK NIE POSIADAJĄCYCH OSOBOWOŚCI PRAWNEJ ORAZ WYDATKI ZWIĄZANE Z ICH POBOREM</t>
  </si>
  <si>
    <t>Wpływy z podatku dochodowego od osób fizycznych</t>
  </si>
  <si>
    <t>0350</t>
  </si>
  <si>
    <t>wpływy z karty podatkowej</t>
  </si>
  <si>
    <t>odsetki od nieterminowych opłat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</si>
  <si>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</si>
  <si>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</si>
  <si>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</si>
  <si>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</si>
  <si>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</si>
  <si>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</si>
  <si>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</si>
  <si>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</si>
  <si>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</si>
  <si>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wpływy z podatku rolnego, podatku leśnego, podatku od czynności cywilnoprawnych, podatku od spadków i darowizn oraz podatków i opłat lokalnych od osób fizycznych</t>
  </si>
  <si>
    <t>0360</t>
  </si>
  <si>
    <t>podatek od spadków i darowizn</t>
  </si>
  <si>
    <t>0390</t>
  </si>
  <si>
    <t>opłata uzdrowiskowa</t>
  </si>
  <si>
    <t>0430</t>
  </si>
  <si>
    <t>opłata targowa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</si>
  <si>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</si>
  <si>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</si>
  <si>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</si>
  <si>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</si>
  <si>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opłaty za zezwolenia na sprzedaż alkoholu</t>
  </si>
  <si>
    <t>wpływy z różnych rozliczeń</t>
  </si>
  <si>
    <t>0460</t>
  </si>
  <si>
    <t>wpływy z opłaty eksploatacyjnej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</si>
  <si>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</si>
  <si>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</si>
  <si>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</si>
  <si>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</si>
  <si>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</si>
  <si>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OBSŁUGA DŁUGU PUBLICZNEGO</t>
  </si>
  <si>
    <t>rozliczenia z tytułu poręczeń i gwarancji udzielonych przez JST</t>
  </si>
  <si>
    <t>wpływy z tytułu poręczeń i gwarancji, w tym należn.uboczne</t>
  </si>
  <si>
    <t>RÓŻNE ROZLICZENIA</t>
  </si>
  <si>
    <t>różne rozliczenia finansowe</t>
  </si>
  <si>
    <t>0920</t>
  </si>
  <si>
    <t>pozostałe odsetki</t>
  </si>
  <si>
    <t>OŚWIATA I WYCHOWANIE</t>
  </si>
  <si>
    <t>szkoły podstawowe</t>
  </si>
  <si>
    <t>przedszkola</t>
  </si>
  <si>
    <t>odsetki</t>
  </si>
  <si>
    <t>gimnazja</t>
  </si>
  <si>
    <t>dowożenie uczniów do szkół</t>
  </si>
  <si>
    <t>OPIEKA SPOŁECZNA</t>
  </si>
  <si>
    <t>Świadczenia rodzinne</t>
  </si>
  <si>
    <t>0980</t>
  </si>
  <si>
    <t>wpływy ze zwrotów dotacji oraz płatności, w tym wykorzystanych niezgodnie z przeznaczeniem</t>
  </si>
  <si>
    <t>dodatki mieszkaniowe</t>
  </si>
  <si>
    <t>Ośrodki pomocy społecznej</t>
  </si>
  <si>
    <t>Usługi opiekuńcze i specjalistyczne usługi opiekuńcze</t>
  </si>
  <si>
    <t>GOSPODARKA KOMUNALNA I OCHRONA ŚRODOWISKA</t>
  </si>
  <si>
    <t>Gospodarka ściekowa i ochrona wód</t>
  </si>
  <si>
    <t>Oczyszczanie miast i wsi</t>
  </si>
  <si>
    <t>Oświetlenie ulic, placów i dróg</t>
  </si>
  <si>
    <t>Wypływy związane z gromadzeniem środków z opłat i kar za korzystanie ze środowiska</t>
  </si>
  <si>
    <t>Wpływy związane z gromadzeniem opłaty produktowej</t>
  </si>
  <si>
    <t>0400</t>
  </si>
  <si>
    <t>Opłata produktowa</t>
  </si>
  <si>
    <t>Opłata za wyrejestrowanie pojazdu</t>
  </si>
  <si>
    <t>KULTURA I OCHRONA DZIEDZICTWA NARODOWEGO</t>
  </si>
  <si>
    <t>Pozostała działalność</t>
  </si>
  <si>
    <t>KULTURA FIZYCZNA I SPORT</t>
  </si>
  <si>
    <t>Obiekty sportowe</t>
  </si>
  <si>
    <t>Kary</t>
  </si>
  <si>
    <t>Zadania z zakresu kultury fizycznej i sportu</t>
  </si>
  <si>
    <t>Odsetki</t>
  </si>
  <si>
    <t>II. DOTACJE CELOWE NA ZADANIA WŁASNE GMINY</t>
  </si>
  <si>
    <t>Środki na dofinansowanie własnych inwestycji gmin, pozyskane z innych źródeł. Finansowanie programów i projektów ze środków funduszy strukturalnych, Funduszu Spójności oraz Sekcji Gwarancji Europejskiego Funduszu Orientacji I Gwarancji Rolnej</t>
  </si>
  <si>
    <t>TRANSPORT I ŁĄCZNOŚĆ</t>
  </si>
  <si>
    <t>Drogi publiczne gminne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</si>
  <si>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</si>
  <si>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Wpływy z tytułu pomocy finansowej udzielanej między jednostkami samorządu terytorialnego na dofinansowanie własnych zadań inwestycyjnych, zakupów inwestycyjnych</t>
  </si>
  <si>
    <t>Dotacje celowe otrzymane z budżetu państwa na realizację inwestycji i zakupów inwestycyjnych własnych gmin (związków gmin)</t>
  </si>
  <si>
    <t>Gospodarka gruntami i nieruchomościami</t>
  </si>
  <si>
    <t>dotacje celowe otrzymane z budżetu na zadania bieżące realizowane przez gminę na podstawie porozumień</t>
  </si>
  <si>
    <t>Ochotnicze Straże Pożarne</t>
  </si>
  <si>
    <t>obrona cywilna</t>
  </si>
  <si>
    <t>dotacje celowe otrzymane z budżetu państwa na realizację  własnych zadań bieżących gmin (związków gmin)</t>
  </si>
  <si>
    <t>Różne rozliczenia finansowe</t>
  </si>
  <si>
    <t>dotacje celowe przekazane z budżetu państwa na realizację inwestycji i zakupów inwestycyjnych własnych gmin</t>
  </si>
  <si>
    <t>Szkoły podstawowe</t>
  </si>
  <si>
    <t>POMOC  SPOŁECZNA</t>
  </si>
  <si>
    <t>składki na ubezpieczenie zdrowotne opłacone za osoby pobierające niektóre świadczenia z pomocy społecznej</t>
  </si>
  <si>
    <t>Zasiłki i pomoc w naturze oraz składki na ubezpieczenie społeczne i zdrowotne</t>
  </si>
  <si>
    <t>Zasiłki stałe</t>
  </si>
  <si>
    <t>EDUKACYJNA OPIEKA WYCHOWAWCZA</t>
  </si>
  <si>
    <t>Pomoc materialna dla uczniów</t>
  </si>
  <si>
    <t>Środki na dofinansowanie własnych inwestycji gmin, pozyskane z innych źródeł.</t>
  </si>
  <si>
    <t>dotacje otrzymane z funduszy celowych na finansowanie lub dofinansowanie kosztów realizacji inwestycji i zakupów inwestycyjnych jednostek sektora finansów publicznych</t>
  </si>
  <si>
    <t>III. ŚRODKI POZYSKANE Z INNYCH ŹRÓDEŁ NA ZADANIA WŁASNE</t>
  </si>
  <si>
    <t>TURYSTYKA</t>
  </si>
  <si>
    <t>Zadania w zakrtesie upowszechniania turystyki,</t>
  </si>
  <si>
    <t>dotacje celowe w ramach paragrafów finansowych z udziałem środków europejskich</t>
  </si>
  <si>
    <t>promocja jednostek samorządu terytorialnego</t>
  </si>
  <si>
    <t>Środki na dofinansowanie własnych zadań bieżących gmin pozyskane z innych źródeł</t>
  </si>
  <si>
    <t>rekompensaty utraconych dochodów w podatkach i opłatach lokalnych</t>
  </si>
  <si>
    <t>dotacje rozwojowe oraz środki na finansowanie Wspólnej Polityki Rolnej, środki na dofinansowanie własnych inwestycji gmin pozyskanych z innyych źródeł. Finansowanie programówi projektów ze środków strulturalnych</t>
  </si>
  <si>
    <t>POZOSTAŁE ZADANIA W ZAKRESIE POLITYKI SPOŁECZNEJ</t>
  </si>
  <si>
    <t>Gospodarka odpadami</t>
  </si>
  <si>
    <t>dotacje otrzymane z funduszy celowych na realizację zadań bieżących jednostek sektora finansów publicznych</t>
  </si>
  <si>
    <t>Środki na dofinansowanie własnych zadań bieżących gmin vpozyskane z innych źródeł</t>
  </si>
  <si>
    <t>IV. DOTACJE NA ZADANIA W RAMACH POROZUMIEŃ I UMÓW</t>
  </si>
  <si>
    <t>Drogi publiczne wojewódzkie</t>
  </si>
  <si>
    <t>dotacje celowe otrzymane od samorządu województwa na zadania bieżące realizowane na podstawie porozumień (umów) między jednostkami samorządu terytorialnego</t>
  </si>
  <si>
    <t>dotacje celowe otrzymane z gminy na zadnaia bieżące realizowane na podstawie porozumień (umów) między jednostkami samorządu terytorialnego</t>
  </si>
  <si>
    <t>Biblioteki</t>
  </si>
  <si>
    <t>dotacje celowe otrzymane z powiatu za zadania bieżące realizoweane na podstawie porozumień (umów) między jednostaki samorządu terytorialnego</t>
  </si>
  <si>
    <t>V. DOTACJE CELOWE NA ZADANIA ZLECONE</t>
  </si>
  <si>
    <t>01095</t>
  </si>
  <si>
    <t>dotacje celowe otrzymane z budżetu państwa na realizację zadań bieżących z zakresu administracji rządowej oraz innych zadań zleconych gminie (związkom gmin) ustawami</t>
  </si>
  <si>
    <t>Spis powszechny i inne</t>
  </si>
  <si>
    <t>URZĘDY NACZELNYCH ORGANÓW WŁADZY PAŃSTWOWEJ, KONTROLI i OCHRONY PRAW ORAZ SĄDOWNICTWA</t>
  </si>
  <si>
    <t>Urzędy naczelnych organów władzy państwowej, kontroli i ochrony prawa</t>
  </si>
  <si>
    <t>wybory Prezydenta Rzeczypospolitej Polskiej</t>
  </si>
  <si>
    <t>Wybory do rad Gmin</t>
  </si>
  <si>
    <t>POMOC SPOŁECZNA</t>
  </si>
  <si>
    <t>Świadczenia rodzinne, zaliczka alimentacyjna oraz składki na ubezpieczenia emerytalne i rentowe z ubezpieczenia społecznego</t>
  </si>
  <si>
    <t>VI. RÓŻNE ROZLICZENIA</t>
  </si>
  <si>
    <t>Część oświatowa subwencji ogólnej dla jednostek samorządu terytorialnego</t>
  </si>
  <si>
    <t>subwencje ogólne z budżetu państwa (oświatowa)</t>
  </si>
  <si>
    <t>Część wyrównawcza subwencji ogólnej dla gmin</t>
  </si>
  <si>
    <t>subwencje ogólne z budżetu państwa</t>
  </si>
  <si>
    <t>Część równoważąca subwencji ogólnej dla gmin</t>
  </si>
  <si>
    <t>OGÓŁEM DOCHODY (I+II+III+IV+V)</t>
  </si>
  <si>
    <t xml:space="preserve"> </t>
  </si>
  <si>
    <t>1. Dotacje celowe</t>
  </si>
  <si>
    <t>- na zadania własne</t>
  </si>
  <si>
    <t>- na zadania zlecone</t>
  </si>
  <si>
    <t>-na porozumienia i umowy z j.s.t.</t>
  </si>
  <si>
    <t>2. Środki pozyskane z innych źródeł na zadania własne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</si>
</sst>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6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sz val="5"/>
      <name val="Arial"/>
      <family val="2"/>
    </font>
    <font>
      <i/>
      <sz val="7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0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wrapText="1"/>
    </xf>
    <xf numFmtId="164" fontId="5" fillId="0" borderId="0" xfId="0" applyFont="1" applyAlignment="1">
      <alignment wrapText="1"/>
    </xf>
    <xf numFmtId="164" fontId="6" fillId="0" borderId="0" xfId="0" applyFont="1" applyBorder="1" applyAlignment="1">
      <alignment horizontal="left" wrapText="1"/>
    </xf>
    <xf numFmtId="164" fontId="3" fillId="0" borderId="0" xfId="0" applyFont="1" applyBorder="1" applyAlignment="1">
      <alignment wrapText="1"/>
    </xf>
    <xf numFmtId="164" fontId="7" fillId="0" borderId="0" xfId="0" applyFont="1" applyBorder="1" applyAlignment="1">
      <alignment horizontal="left" wrapText="1"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8" fillId="0" borderId="2" xfId="0" applyFont="1" applyBorder="1" applyAlignment="1">
      <alignment horizontal="center" wrapText="1"/>
    </xf>
    <xf numFmtId="164" fontId="8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8" fillId="0" borderId="6" xfId="0" applyFont="1" applyBorder="1" applyAlignment="1">
      <alignment horizontal="center" wrapText="1"/>
    </xf>
    <xf numFmtId="164" fontId="8" fillId="0" borderId="7" xfId="0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8" fillId="0" borderId="5" xfId="0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8" fillId="0" borderId="8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1" fillId="2" borderId="9" xfId="0" applyFont="1" applyFill="1" applyBorder="1" applyAlignment="1">
      <alignment wrapText="1"/>
    </xf>
    <xf numFmtId="164" fontId="1" fillId="2" borderId="0" xfId="0" applyFont="1" applyFill="1" applyBorder="1" applyAlignment="1">
      <alignment wrapText="1"/>
    </xf>
    <xf numFmtId="164" fontId="1" fillId="2" borderId="10" xfId="0" applyFont="1" applyFill="1" applyBorder="1" applyAlignment="1">
      <alignment wrapText="1"/>
    </xf>
    <xf numFmtId="165" fontId="8" fillId="2" borderId="11" xfId="0" applyNumberFormat="1" applyFont="1" applyFill="1" applyBorder="1" applyAlignment="1">
      <alignment/>
    </xf>
    <xf numFmtId="165" fontId="7" fillId="2" borderId="11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4" fontId="1" fillId="0" borderId="5" xfId="0" applyFont="1" applyBorder="1" applyAlignment="1">
      <alignment wrapText="1"/>
    </xf>
    <xf numFmtId="165" fontId="1" fillId="0" borderId="9" xfId="0" applyNumberFormat="1" applyFont="1" applyBorder="1" applyAlignment="1">
      <alignment/>
    </xf>
    <xf numFmtId="164" fontId="1" fillId="0" borderId="5" xfId="0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8" fillId="0" borderId="5" xfId="0" applyFont="1" applyBorder="1" applyAlignment="1">
      <alignment wrapText="1"/>
    </xf>
    <xf numFmtId="165" fontId="8" fillId="0" borderId="9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5" xfId="0" applyFont="1" applyBorder="1" applyAlignment="1">
      <alignment wrapText="1"/>
    </xf>
    <xf numFmtId="165" fontId="10" fillId="0" borderId="9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64" fontId="12" fillId="0" borderId="0" xfId="0" applyFont="1" applyAlignment="1">
      <alignment/>
    </xf>
    <xf numFmtId="165" fontId="1" fillId="0" borderId="5" xfId="0" applyNumberFormat="1" applyFont="1" applyBorder="1" applyAlignment="1">
      <alignment/>
    </xf>
    <xf numFmtId="164" fontId="1" fillId="0" borderId="9" xfId="0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1" fillId="0" borderId="0" xfId="0" applyFont="1" applyAlignment="1">
      <alignment horizontal="justify"/>
    </xf>
    <xf numFmtId="165" fontId="13" fillId="0" borderId="10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165" fontId="10" fillId="0" borderId="5" xfId="0" applyNumberFormat="1" applyFont="1" applyBorder="1" applyAlignment="1">
      <alignment/>
    </xf>
    <xf numFmtId="164" fontId="1" fillId="0" borderId="14" xfId="0" applyFont="1" applyBorder="1" applyAlignment="1">
      <alignment horizontal="justify"/>
    </xf>
    <xf numFmtId="164" fontId="10" fillId="0" borderId="5" xfId="0" applyFont="1" applyFill="1" applyBorder="1" applyAlignment="1">
      <alignment wrapText="1"/>
    </xf>
    <xf numFmtId="164" fontId="1" fillId="0" borderId="5" xfId="0" applyFont="1" applyFill="1" applyBorder="1" applyAlignment="1">
      <alignment wrapText="1"/>
    </xf>
    <xf numFmtId="165" fontId="1" fillId="0" borderId="4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1" fillId="0" borderId="4" xfId="0" applyFont="1" applyBorder="1" applyAlignment="1">
      <alignment/>
    </xf>
    <xf numFmtId="165" fontId="10" fillId="0" borderId="8" xfId="0" applyNumberFormat="1" applyFont="1" applyBorder="1" applyAlignment="1">
      <alignment/>
    </xf>
    <xf numFmtId="165" fontId="1" fillId="0" borderId="9" xfId="0" applyNumberFormat="1" applyFont="1" applyFill="1" applyBorder="1" applyAlignment="1">
      <alignment/>
    </xf>
    <xf numFmtId="164" fontId="10" fillId="0" borderId="9" xfId="0" applyFont="1" applyBorder="1" applyAlignment="1">
      <alignment/>
    </xf>
    <xf numFmtId="164" fontId="8" fillId="2" borderId="15" xfId="0" applyFont="1" applyFill="1" applyBorder="1" applyAlignment="1">
      <alignment wrapText="1"/>
    </xf>
    <xf numFmtId="164" fontId="8" fillId="2" borderId="16" xfId="0" applyFont="1" applyFill="1" applyBorder="1" applyAlignment="1">
      <alignment wrapText="1"/>
    </xf>
    <xf numFmtId="164" fontId="8" fillId="2" borderId="17" xfId="0" applyFont="1" applyFill="1" applyBorder="1" applyAlignment="1">
      <alignment wrapText="1"/>
    </xf>
    <xf numFmtId="164" fontId="8" fillId="2" borderId="18" xfId="0" applyFont="1" applyFill="1" applyBorder="1" applyAlignment="1">
      <alignment wrapText="1"/>
    </xf>
    <xf numFmtId="165" fontId="8" fillId="2" borderId="18" xfId="0" applyNumberFormat="1" applyFont="1" applyFill="1" applyBorder="1" applyAlignment="1">
      <alignment/>
    </xf>
    <xf numFmtId="165" fontId="7" fillId="2" borderId="19" xfId="0" applyNumberFormat="1" applyFont="1" applyFill="1" applyBorder="1" applyAlignment="1">
      <alignment/>
    </xf>
    <xf numFmtId="164" fontId="1" fillId="0" borderId="6" xfId="0" applyFont="1" applyBorder="1" applyAlignment="1">
      <alignment wrapText="1"/>
    </xf>
    <xf numFmtId="165" fontId="1" fillId="0" borderId="8" xfId="0" applyNumberFormat="1" applyFont="1" applyBorder="1" applyAlignment="1">
      <alignment/>
    </xf>
    <xf numFmtId="164" fontId="1" fillId="0" borderId="0" xfId="0" applyFont="1" applyAlignment="1">
      <alignment wrapText="1"/>
    </xf>
    <xf numFmtId="165" fontId="14" fillId="0" borderId="9" xfId="0" applyNumberFormat="1" applyFont="1" applyBorder="1" applyAlignment="1">
      <alignment/>
    </xf>
    <xf numFmtId="164" fontId="8" fillId="0" borderId="9" xfId="0" applyFont="1" applyBorder="1" applyAlignment="1">
      <alignment/>
    </xf>
    <xf numFmtId="164" fontId="1" fillId="0" borderId="5" xfId="0" applyFont="1" applyBorder="1" applyAlignment="1">
      <alignment vertical="top" wrapText="1"/>
    </xf>
    <xf numFmtId="164" fontId="8" fillId="0" borderId="5" xfId="0" applyFont="1" applyBorder="1" applyAlignment="1">
      <alignment/>
    </xf>
    <xf numFmtId="164" fontId="10" fillId="0" borderId="5" xfId="0" applyFont="1" applyBorder="1" applyAlignment="1">
      <alignment/>
    </xf>
    <xf numFmtId="165" fontId="14" fillId="0" borderId="5" xfId="0" applyNumberFormat="1" applyFont="1" applyBorder="1" applyAlignment="1">
      <alignment/>
    </xf>
    <xf numFmtId="164" fontId="14" fillId="0" borderId="9" xfId="0" applyFon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5" fontId="10" fillId="0" borderId="4" xfId="0" applyNumberFormat="1" applyFont="1" applyBorder="1" applyAlignment="1">
      <alignment/>
    </xf>
    <xf numFmtId="164" fontId="14" fillId="0" borderId="6" xfId="0" applyFont="1" applyBorder="1" applyAlignment="1">
      <alignment/>
    </xf>
    <xf numFmtId="165" fontId="14" fillId="0" borderId="8" xfId="0" applyNumberFormat="1" applyFont="1" applyBorder="1" applyAlignment="1">
      <alignment/>
    </xf>
    <xf numFmtId="164" fontId="8" fillId="2" borderId="3" xfId="0" applyFont="1" applyFill="1" applyBorder="1" applyAlignment="1">
      <alignment wrapText="1"/>
    </xf>
    <xf numFmtId="164" fontId="8" fillId="2" borderId="0" xfId="0" applyFont="1" applyFill="1" applyBorder="1" applyAlignment="1">
      <alignment wrapText="1"/>
    </xf>
    <xf numFmtId="164" fontId="8" fillId="2" borderId="11" xfId="0" applyFont="1" applyFill="1" applyBorder="1" applyAlignment="1">
      <alignment wrapText="1"/>
    </xf>
    <xf numFmtId="164" fontId="8" fillId="2" borderId="10" xfId="0" applyFont="1" applyFill="1" applyBorder="1" applyAlignment="1">
      <alignment wrapText="1"/>
    </xf>
    <xf numFmtId="165" fontId="8" fillId="2" borderId="12" xfId="0" applyNumberFormat="1" applyFont="1" applyFill="1" applyBorder="1" applyAlignment="1">
      <alignment/>
    </xf>
    <xf numFmtId="165" fontId="7" fillId="2" borderId="13" xfId="0" applyNumberFormat="1" applyFont="1" applyFill="1" applyBorder="1" applyAlignment="1">
      <alignment/>
    </xf>
    <xf numFmtId="164" fontId="8" fillId="0" borderId="5" xfId="0" applyFont="1" applyFill="1" applyBorder="1" applyAlignment="1">
      <alignment wrapText="1"/>
    </xf>
    <xf numFmtId="164" fontId="8" fillId="0" borderId="11" xfId="0" applyFont="1" applyFill="1" applyBorder="1" applyAlignment="1">
      <alignment wrapText="1"/>
    </xf>
    <xf numFmtId="164" fontId="8" fillId="0" borderId="20" xfId="0" applyFont="1" applyFill="1" applyBorder="1" applyAlignment="1">
      <alignment wrapText="1"/>
    </xf>
    <xf numFmtId="165" fontId="8" fillId="0" borderId="5" xfId="0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10" fillId="0" borderId="11" xfId="0" applyFont="1" applyFill="1" applyBorder="1" applyAlignment="1">
      <alignment wrapText="1"/>
    </xf>
    <xf numFmtId="164" fontId="10" fillId="0" borderId="20" xfId="0" applyFont="1" applyFill="1" applyBorder="1" applyAlignment="1">
      <alignment wrapText="1"/>
    </xf>
    <xf numFmtId="165" fontId="10" fillId="0" borderId="5" xfId="0" applyNumberFormat="1" applyFont="1" applyFill="1" applyBorder="1" applyAlignment="1">
      <alignment/>
    </xf>
    <xf numFmtId="165" fontId="11" fillId="0" borderId="13" xfId="0" applyNumberFormat="1" applyFont="1" applyFill="1" applyBorder="1" applyAlignment="1">
      <alignment/>
    </xf>
    <xf numFmtId="165" fontId="14" fillId="0" borderId="0" xfId="0" applyNumberFormat="1" applyFont="1" applyFill="1" applyAlignment="1">
      <alignment/>
    </xf>
    <xf numFmtId="164" fontId="15" fillId="0" borderId="0" xfId="0" applyFont="1" applyFill="1" applyAlignment="1">
      <alignment/>
    </xf>
    <xf numFmtId="164" fontId="1" fillId="0" borderId="1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8" fillId="0" borderId="6" xfId="0" applyFont="1" applyFill="1" applyBorder="1" applyAlignment="1">
      <alignment wrapText="1"/>
    </xf>
    <xf numFmtId="164" fontId="8" fillId="0" borderId="5" xfId="0" applyFont="1" applyBorder="1" applyAlignment="1">
      <alignment horizontal="justify"/>
    </xf>
    <xf numFmtId="165" fontId="8" fillId="0" borderId="9" xfId="0" applyNumberFormat="1" applyFont="1" applyFill="1" applyBorder="1" applyAlignment="1">
      <alignment/>
    </xf>
    <xf numFmtId="165" fontId="8" fillId="0" borderId="8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10" fillId="0" borderId="5" xfId="0" applyFont="1" applyBorder="1" applyAlignment="1">
      <alignment horizontal="justify"/>
    </xf>
    <xf numFmtId="165" fontId="10" fillId="0" borderId="9" xfId="0" applyNumberFormat="1" applyFont="1" applyFill="1" applyBorder="1" applyAlignment="1">
      <alignment/>
    </xf>
    <xf numFmtId="164" fontId="1" fillId="0" borderId="9" xfId="0" applyFont="1" applyFill="1" applyBorder="1" applyAlignment="1">
      <alignment/>
    </xf>
    <xf numFmtId="164" fontId="8" fillId="2" borderId="5" xfId="0" applyFont="1" applyFill="1" applyBorder="1" applyAlignment="1">
      <alignment wrapText="1"/>
    </xf>
    <xf numFmtId="165" fontId="8" fillId="2" borderId="9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5" fontId="10" fillId="0" borderId="8" xfId="0" applyNumberFormat="1" applyFont="1" applyFill="1" applyBorder="1" applyAlignment="1">
      <alignment/>
    </xf>
    <xf numFmtId="164" fontId="10" fillId="0" borderId="0" xfId="0" applyFont="1" applyAlignment="1">
      <alignment horizontal="justify"/>
    </xf>
    <xf numFmtId="165" fontId="8" fillId="0" borderId="8" xfId="0" applyNumberFormat="1" applyFont="1" applyBorder="1" applyAlignment="1">
      <alignment/>
    </xf>
    <xf numFmtId="164" fontId="10" fillId="0" borderId="6" xfId="0" applyFont="1" applyBorder="1" applyAlignment="1">
      <alignment wrapText="1"/>
    </xf>
    <xf numFmtId="164" fontId="8" fillId="0" borderId="0" xfId="0" applyFont="1" applyBorder="1" applyAlignment="1">
      <alignment/>
    </xf>
    <xf numFmtId="164" fontId="8" fillId="2" borderId="9" xfId="0" applyFont="1" applyFill="1" applyBorder="1" applyAlignment="1">
      <alignment wrapText="1"/>
    </xf>
    <xf numFmtId="165" fontId="8" fillId="0" borderId="0" xfId="0" applyNumberFormat="1" applyFont="1" applyAlignment="1">
      <alignment/>
    </xf>
    <xf numFmtId="164" fontId="8" fillId="2" borderId="21" xfId="0" applyFont="1" applyFill="1" applyBorder="1" applyAlignment="1">
      <alignment wrapText="1"/>
    </xf>
    <xf numFmtId="165" fontId="8" fillId="2" borderId="22" xfId="0" applyNumberFormat="1" applyFont="1" applyFill="1" applyBorder="1" applyAlignment="1">
      <alignment/>
    </xf>
    <xf numFmtId="165" fontId="7" fillId="2" borderId="5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 wrapText="1"/>
    </xf>
    <xf numFmtId="165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69"/>
  <dimension ref="A1:J304"/>
  <sheetViews>
    <sheetView tabSelected="1" zoomScale="170" zoomScaleNormal="17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3.57421875" style="1" customWidth="1"/>
    <col min="4" max="4" width="50.57421875" style="1" customWidth="1"/>
    <col min="5" max="5" width="9.421875" style="0" customWidth="1"/>
    <col min="6" max="6" width="9.7109375" style="0" customWidth="1"/>
    <col min="7" max="7" width="9.421875" style="2" customWidth="1"/>
    <col min="8" max="8" width="9.140625" style="2" customWidth="1"/>
    <col min="9" max="9" width="4.7109375" style="3" customWidth="1"/>
    <col min="10" max="10" width="13.421875" style="2" customWidth="1"/>
  </cols>
  <sheetData>
    <row r="1" spans="1:8" ht="12.75">
      <c r="A1" s="4"/>
      <c r="B1" s="4"/>
      <c r="C1" s="4"/>
      <c r="D1" s="4"/>
      <c r="F1" s="5" t="s">
        <v>0</v>
      </c>
      <c r="G1" s="6"/>
      <c r="H1" s="7"/>
    </row>
    <row r="2" spans="1:8" ht="12.75" customHeight="1">
      <c r="A2" s="8"/>
      <c r="B2" s="8"/>
      <c r="C2" s="8"/>
      <c r="D2" s="8"/>
      <c r="F2" s="5" t="s">
        <v>1</v>
      </c>
      <c r="G2" s="6"/>
      <c r="H2" s="7"/>
    </row>
    <row r="3" spans="1:8" ht="12.75">
      <c r="A3" s="4"/>
      <c r="B3" s="4"/>
      <c r="C3" s="4"/>
      <c r="D3" s="9"/>
      <c r="F3" s="5" t="s">
        <v>2</v>
      </c>
      <c r="G3" s="6"/>
      <c r="H3" s="7"/>
    </row>
    <row r="4" spans="1:8" ht="12.75">
      <c r="A4" s="4"/>
      <c r="B4" s="4"/>
      <c r="C4" s="4"/>
      <c r="D4" s="9"/>
      <c r="F4" s="5" t="s">
        <v>3</v>
      </c>
      <c r="G4" s="6"/>
      <c r="H4" s="7"/>
    </row>
    <row r="5" spans="1:4" ht="12.75">
      <c r="A5" s="4"/>
      <c r="B5" s="4"/>
      <c r="C5" s="4"/>
      <c r="D5" s="4"/>
    </row>
    <row r="6" spans="1:9" ht="12.75" customHeight="1">
      <c r="A6" s="10" t="s">
        <v>4</v>
      </c>
      <c r="B6" s="10"/>
      <c r="C6" s="10"/>
      <c r="D6" s="10"/>
      <c r="E6" s="11"/>
      <c r="F6" s="10"/>
      <c r="I6" s="12"/>
    </row>
    <row r="7" spans="1:9" ht="12.75" customHeight="1">
      <c r="A7" s="10"/>
      <c r="B7" s="10"/>
      <c r="C7" s="10"/>
      <c r="D7" s="10"/>
      <c r="E7" s="11"/>
      <c r="F7" s="10"/>
      <c r="I7" s="12"/>
    </row>
    <row r="8" spans="5:9" ht="12.75">
      <c r="E8" s="13"/>
      <c r="F8" s="14"/>
      <c r="I8" s="15"/>
    </row>
    <row r="9" spans="1:9" ht="12.75" customHeight="1">
      <c r="A9" s="16" t="s">
        <v>5</v>
      </c>
      <c r="B9" s="16"/>
      <c r="C9" s="16"/>
      <c r="D9" s="16" t="s">
        <v>6</v>
      </c>
      <c r="E9" s="17" t="s">
        <v>7</v>
      </c>
      <c r="F9" s="18" t="s">
        <v>8</v>
      </c>
      <c r="G9" s="19" t="s">
        <v>9</v>
      </c>
      <c r="H9" s="19"/>
      <c r="I9" s="20"/>
    </row>
    <row r="10" spans="1:9" ht="12.75" customHeight="1">
      <c r="A10" s="21" t="s">
        <v>10</v>
      </c>
      <c r="B10" s="21"/>
      <c r="C10" s="21"/>
      <c r="D10" s="22" t="s">
        <v>11</v>
      </c>
      <c r="E10" s="17" t="s">
        <v>12</v>
      </c>
      <c r="F10" s="17" t="s">
        <v>13</v>
      </c>
      <c r="G10" s="17" t="s">
        <v>14</v>
      </c>
      <c r="H10" s="23" t="s">
        <v>15</v>
      </c>
      <c r="I10" s="24" t="s">
        <v>16</v>
      </c>
    </row>
    <row r="11" spans="1:9" ht="12" customHeight="1">
      <c r="A11" s="25" t="s">
        <v>17</v>
      </c>
      <c r="B11" s="25" t="s">
        <v>18</v>
      </c>
      <c r="C11" s="25" t="s">
        <v>19</v>
      </c>
      <c r="D11" s="26"/>
      <c r="E11" s="27" t="s">
        <v>20</v>
      </c>
      <c r="F11" s="27" t="s">
        <v>20</v>
      </c>
      <c r="G11" s="27"/>
      <c r="H11" s="28"/>
      <c r="I11" s="29"/>
    </row>
    <row r="12" spans="1:10" ht="12.75">
      <c r="A12" s="30"/>
      <c r="B12" s="31"/>
      <c r="C12" s="32"/>
      <c r="D12" s="32" t="s">
        <v>21</v>
      </c>
      <c r="E12" s="33">
        <f>SUM(E14,E17,E110,E20,E30,E33,E45,E52,E81,E84,E87,E98,E124,E127)</f>
        <v>26597328</v>
      </c>
      <c r="F12" s="33">
        <f>SUM(F14,F17,F110,F20,F30,F33,F45,F52,F81,F84,F87,F98,F124,F127)</f>
        <v>28027124.02</v>
      </c>
      <c r="G12" s="33">
        <f>SUM(G14,G17,G110,G20,G30,G33,G45,G52,G81,G84,G87,G98,G124,G127)</f>
        <v>25911628.09</v>
      </c>
      <c r="H12" s="33">
        <f>SUM(H14,H17,H110,H20,H30,H33,H45,H52,H81,H84,H87,H98,H124,H127)</f>
        <v>2115495.93</v>
      </c>
      <c r="I12" s="34">
        <f>F12/E12*100</f>
        <v>105.37571300395288</v>
      </c>
      <c r="J12" s="35"/>
    </row>
    <row r="13" spans="1:9" ht="12.75">
      <c r="A13" s="36"/>
      <c r="B13" s="36"/>
      <c r="C13" s="36"/>
      <c r="D13" s="36" t="s">
        <v>22</v>
      </c>
      <c r="E13" s="37"/>
      <c r="F13" s="37"/>
      <c r="G13" s="38"/>
      <c r="H13" s="38"/>
      <c r="I13" s="39"/>
    </row>
    <row r="14" spans="1:10" s="44" customFormat="1" ht="12.75">
      <c r="A14" s="40" t="s">
        <v>23</v>
      </c>
      <c r="B14" s="40"/>
      <c r="C14" s="40"/>
      <c r="D14" s="40" t="s">
        <v>24</v>
      </c>
      <c r="E14" s="41">
        <f>SUM(E15)</f>
        <v>2440122</v>
      </c>
      <c r="F14" s="41">
        <f>SUM(F15)</f>
        <v>2699688.92</v>
      </c>
      <c r="G14" s="41">
        <f>SUM(G15)</f>
        <v>2699688.92</v>
      </c>
      <c r="H14" s="41">
        <f>SUM(H15)</f>
        <v>0</v>
      </c>
      <c r="I14" s="42">
        <f aca="true" t="shared" si="0" ref="I14:I20">F14/E14*100</f>
        <v>110.63745665175757</v>
      </c>
      <c r="J14" s="43"/>
    </row>
    <row r="15" spans="1:10" s="49" customFormat="1" ht="12.75">
      <c r="A15" s="45"/>
      <c r="B15" s="45" t="s">
        <v>25</v>
      </c>
      <c r="C15" s="45"/>
      <c r="D15" s="45" t="s">
        <v>26</v>
      </c>
      <c r="E15" s="46">
        <f>SUM(E16:E16)</f>
        <v>2440122</v>
      </c>
      <c r="F15" s="46">
        <f>SUM(F16:F16)</f>
        <v>2699688.92</v>
      </c>
      <c r="G15" s="46">
        <f>SUM(G16:G16)</f>
        <v>2699688.92</v>
      </c>
      <c r="H15" s="46">
        <f>SUM(H16:H16)</f>
        <v>0</v>
      </c>
      <c r="I15" s="47">
        <f t="shared" si="0"/>
        <v>110.63745665175757</v>
      </c>
      <c r="J15" s="48"/>
    </row>
    <row r="16" spans="1:10" s="7" customFormat="1" ht="12.75">
      <c r="A16" s="36"/>
      <c r="B16" s="36"/>
      <c r="C16" s="36" t="s">
        <v>27</v>
      </c>
      <c r="D16" s="36" t="s">
        <v>28</v>
      </c>
      <c r="E16" s="37">
        <f>350000+1954751+135371</f>
        <v>2440122</v>
      </c>
      <c r="F16" s="37">
        <v>2699688.92</v>
      </c>
      <c r="G16" s="50">
        <f>F16</f>
        <v>2699688.92</v>
      </c>
      <c r="H16" s="51"/>
      <c r="I16" s="52">
        <f t="shared" si="0"/>
        <v>110.63745665175757</v>
      </c>
      <c r="J16" s="2"/>
    </row>
    <row r="17" spans="1:10" s="44" customFormat="1" ht="12.75">
      <c r="A17" s="40" t="s">
        <v>29</v>
      </c>
      <c r="B17" s="40"/>
      <c r="C17" s="40"/>
      <c r="D17" s="40" t="s">
        <v>30</v>
      </c>
      <c r="E17" s="41">
        <f aca="true" t="shared" si="1" ref="E17:H18">SUM(E18)</f>
        <v>2000</v>
      </c>
      <c r="F17" s="41">
        <f t="shared" si="1"/>
        <v>5143.08</v>
      </c>
      <c r="G17" s="41">
        <f t="shared" si="1"/>
        <v>5143.08</v>
      </c>
      <c r="H17" s="41">
        <f t="shared" si="1"/>
        <v>0</v>
      </c>
      <c r="I17" s="42">
        <f t="shared" si="0"/>
        <v>257.154</v>
      </c>
      <c r="J17" s="43"/>
    </row>
    <row r="18" spans="1:10" s="49" customFormat="1" ht="12.75">
      <c r="A18" s="45"/>
      <c r="B18" s="45" t="s">
        <v>31</v>
      </c>
      <c r="C18" s="45"/>
      <c r="D18" s="45" t="s">
        <v>32</v>
      </c>
      <c r="E18" s="46">
        <f t="shared" si="1"/>
        <v>2000</v>
      </c>
      <c r="F18" s="46">
        <f t="shared" si="1"/>
        <v>5143.08</v>
      </c>
      <c r="G18" s="46">
        <f t="shared" si="1"/>
        <v>5143.08</v>
      </c>
      <c r="H18" s="46">
        <f t="shared" si="1"/>
        <v>0</v>
      </c>
      <c r="I18" s="47">
        <f t="shared" si="0"/>
        <v>257.154</v>
      </c>
      <c r="J18" s="48"/>
    </row>
    <row r="19" spans="1:9" ht="12.75">
      <c r="A19" s="36"/>
      <c r="B19" s="36"/>
      <c r="C19" s="36" t="s">
        <v>33</v>
      </c>
      <c r="D19" s="36" t="s">
        <v>34</v>
      </c>
      <c r="E19" s="37">
        <v>2000</v>
      </c>
      <c r="F19" s="37">
        <v>5143.08</v>
      </c>
      <c r="G19" s="50">
        <f>F19</f>
        <v>5143.08</v>
      </c>
      <c r="H19" s="51"/>
      <c r="I19" s="52">
        <f t="shared" si="0"/>
        <v>257.154</v>
      </c>
    </row>
    <row r="20" spans="1:10" s="44" customFormat="1" ht="12.75">
      <c r="A20" s="40">
        <v>700</v>
      </c>
      <c r="B20" s="40"/>
      <c r="C20" s="40"/>
      <c r="D20" s="40" t="s">
        <v>35</v>
      </c>
      <c r="E20" s="41">
        <f>SUM(E22)</f>
        <v>6063885</v>
      </c>
      <c r="F20" s="41">
        <f>SUM(F22)</f>
        <v>6106840.630000001</v>
      </c>
      <c r="G20" s="41">
        <f>SUM(G22)</f>
        <v>3991344.6999999997</v>
      </c>
      <c r="H20" s="41">
        <f>SUM(H22)</f>
        <v>2115495.93</v>
      </c>
      <c r="I20" s="42">
        <f t="shared" si="0"/>
        <v>100.70838464119952</v>
      </c>
      <c r="J20" s="43"/>
    </row>
    <row r="21" spans="1:9" ht="12.75">
      <c r="A21" s="36"/>
      <c r="B21" s="36"/>
      <c r="C21" s="36"/>
      <c r="D21" s="36" t="s">
        <v>22</v>
      </c>
      <c r="E21" s="37"/>
      <c r="F21" s="37"/>
      <c r="G21" s="38"/>
      <c r="H21" s="51"/>
      <c r="I21" s="52"/>
    </row>
    <row r="22" spans="1:10" s="49" customFormat="1" ht="12.75">
      <c r="A22" s="45"/>
      <c r="B22" s="45">
        <v>70005</v>
      </c>
      <c r="C22" s="45"/>
      <c r="D22" s="45" t="s">
        <v>36</v>
      </c>
      <c r="E22" s="46">
        <f>SUM(E23:E29)</f>
        <v>6063885</v>
      </c>
      <c r="F22" s="46">
        <f>SUM(F23:F29)</f>
        <v>6106840.630000001</v>
      </c>
      <c r="G22" s="46">
        <f>SUM(G23:G29)</f>
        <v>3991344.6999999997</v>
      </c>
      <c r="H22" s="46">
        <f>SUM(H23:H29)</f>
        <v>2115495.93</v>
      </c>
      <c r="I22" s="47">
        <f>F22/E22*100</f>
        <v>100.70838464119952</v>
      </c>
      <c r="J22" s="48"/>
    </row>
    <row r="23" spans="1:9" ht="12.75">
      <c r="A23" s="36"/>
      <c r="B23" s="36"/>
      <c r="C23" s="36" t="s">
        <v>37</v>
      </c>
      <c r="D23" s="36" t="s">
        <v>38</v>
      </c>
      <c r="E23" s="37">
        <f>450000+300000</f>
        <v>750000</v>
      </c>
      <c r="F23" s="37">
        <v>839586.65</v>
      </c>
      <c r="G23" s="50">
        <f>F23</f>
        <v>839586.65</v>
      </c>
      <c r="H23" s="38"/>
      <c r="I23" s="53">
        <f>F23/E23*100</f>
        <v>111.94488666666666</v>
      </c>
    </row>
    <row r="24" spans="1:9" ht="12.75">
      <c r="A24" s="36"/>
      <c r="B24" s="36"/>
      <c r="C24" s="36" t="s">
        <v>33</v>
      </c>
      <c r="D24" s="36" t="s">
        <v>34</v>
      </c>
      <c r="E24" s="37">
        <v>1340000</v>
      </c>
      <c r="F24" s="37">
        <v>1365853.22</v>
      </c>
      <c r="G24" s="50">
        <f>F24</f>
        <v>1365853.22</v>
      </c>
      <c r="H24" s="38"/>
      <c r="I24" s="54">
        <f>F24/E24*100</f>
        <v>101.9293447761194</v>
      </c>
    </row>
    <row r="25" spans="1:9" ht="12.75">
      <c r="A25" s="36"/>
      <c r="B25" s="36"/>
      <c r="C25" s="36" t="s">
        <v>39</v>
      </c>
      <c r="D25" s="55" t="s">
        <v>40</v>
      </c>
      <c r="E25" s="37">
        <f>100000+100000</f>
        <v>200000</v>
      </c>
      <c r="F25" s="37">
        <v>206904.9</v>
      </c>
      <c r="G25" s="50"/>
      <c r="H25" s="50">
        <f>F25</f>
        <v>206904.9</v>
      </c>
      <c r="I25" s="54">
        <f>F25/E25*100</f>
        <v>103.45245000000001</v>
      </c>
    </row>
    <row r="26" spans="1:9" ht="12.75">
      <c r="A26" s="36"/>
      <c r="B26" s="36"/>
      <c r="C26" s="36" t="s">
        <v>41</v>
      </c>
      <c r="D26" s="36" t="s">
        <v>42</v>
      </c>
      <c r="E26" s="37">
        <f>5030000+349500-82574-995000-1600000-1643500</f>
        <v>1058426</v>
      </c>
      <c r="F26" s="37">
        <v>923126.13</v>
      </c>
      <c r="G26" s="38"/>
      <c r="H26" s="50">
        <f>F26</f>
        <v>923126.13</v>
      </c>
      <c r="I26" s="54">
        <f>F26/E26*100</f>
        <v>87.21687959290495</v>
      </c>
    </row>
    <row r="27" spans="1:9" ht="12.75">
      <c r="A27" s="36"/>
      <c r="B27" s="36"/>
      <c r="C27" s="36" t="s">
        <v>43</v>
      </c>
      <c r="D27" s="36" t="s">
        <v>44</v>
      </c>
      <c r="E27" s="37">
        <v>985000</v>
      </c>
      <c r="F27" s="37">
        <v>985464.9</v>
      </c>
      <c r="G27" s="50"/>
      <c r="H27" s="50">
        <f>F27</f>
        <v>985464.9</v>
      </c>
      <c r="I27" s="54"/>
    </row>
    <row r="28" spans="1:9" ht="12.75">
      <c r="A28" s="36"/>
      <c r="B28" s="36"/>
      <c r="C28" s="36" t="s">
        <v>45</v>
      </c>
      <c r="D28" s="36" t="s">
        <v>46</v>
      </c>
      <c r="E28" s="37">
        <v>1000</v>
      </c>
      <c r="F28" s="37">
        <v>28555.35</v>
      </c>
      <c r="G28" s="50">
        <f>F28</f>
        <v>28555.35</v>
      </c>
      <c r="H28" s="38"/>
      <c r="I28" s="56">
        <f>F28/E28*100</f>
        <v>2855.535</v>
      </c>
    </row>
    <row r="29" spans="1:9" ht="12.75">
      <c r="A29" s="36"/>
      <c r="B29" s="36"/>
      <c r="C29" s="36" t="s">
        <v>27</v>
      </c>
      <c r="D29" s="36" t="s">
        <v>28</v>
      </c>
      <c r="E29" s="37">
        <f>40000+1389459+300000</f>
        <v>1729459</v>
      </c>
      <c r="F29" s="37">
        <v>1757349.48</v>
      </c>
      <c r="G29" s="50">
        <f>F29</f>
        <v>1757349.48</v>
      </c>
      <c r="H29" s="38"/>
      <c r="I29" s="39">
        <f>F29/E29*100</f>
        <v>101.61267078317555</v>
      </c>
    </row>
    <row r="30" spans="1:10" s="44" customFormat="1" ht="12.75">
      <c r="A30" s="40">
        <v>710</v>
      </c>
      <c r="B30" s="40"/>
      <c r="C30" s="40"/>
      <c r="D30" s="40" t="s">
        <v>47</v>
      </c>
      <c r="E30" s="41">
        <f aca="true" t="shared" si="2" ref="E30:H31">SUM(E31)</f>
        <v>300000</v>
      </c>
      <c r="F30" s="41">
        <f t="shared" si="2"/>
        <v>300000</v>
      </c>
      <c r="G30" s="41">
        <f t="shared" si="2"/>
        <v>300000</v>
      </c>
      <c r="H30" s="41">
        <f t="shared" si="2"/>
        <v>0</v>
      </c>
      <c r="I30" s="42"/>
      <c r="J30" s="43"/>
    </row>
    <row r="31" spans="1:10" s="49" customFormat="1" ht="12.75">
      <c r="A31" s="45"/>
      <c r="B31" s="45">
        <v>71035</v>
      </c>
      <c r="C31" s="45"/>
      <c r="D31" s="45" t="s">
        <v>48</v>
      </c>
      <c r="E31" s="46">
        <f t="shared" si="2"/>
        <v>300000</v>
      </c>
      <c r="F31" s="46">
        <f t="shared" si="2"/>
        <v>300000</v>
      </c>
      <c r="G31" s="46">
        <f t="shared" si="2"/>
        <v>300000</v>
      </c>
      <c r="H31" s="46">
        <f t="shared" si="2"/>
        <v>0</v>
      </c>
      <c r="I31" s="47"/>
      <c r="J31" s="48"/>
    </row>
    <row r="32" spans="1:9" ht="12.75">
      <c r="A32" s="36"/>
      <c r="B32" s="36"/>
      <c r="C32" s="36" t="s">
        <v>27</v>
      </c>
      <c r="D32" s="36" t="s">
        <v>28</v>
      </c>
      <c r="E32" s="37">
        <v>300000</v>
      </c>
      <c r="F32" s="37">
        <v>300000</v>
      </c>
      <c r="G32" s="50">
        <f>F32</f>
        <v>300000</v>
      </c>
      <c r="H32" s="38"/>
      <c r="I32" s="57"/>
    </row>
    <row r="33" spans="1:10" s="44" customFormat="1" ht="12.75">
      <c r="A33" s="40">
        <v>750</v>
      </c>
      <c r="B33" s="40"/>
      <c r="C33" s="40"/>
      <c r="D33" s="40" t="s">
        <v>49</v>
      </c>
      <c r="E33" s="58">
        <f>SUM(,E42,E36,E34)</f>
        <v>42000</v>
      </c>
      <c r="F33" s="41">
        <f>SUM(,F42,F36,F34)</f>
        <v>46622.83</v>
      </c>
      <c r="G33" s="41">
        <f>SUM(,G42,G36,G34)</f>
        <v>46622.83</v>
      </c>
      <c r="H33" s="41">
        <f>SUM(,H42,H36,H34)</f>
        <v>0</v>
      </c>
      <c r="I33" s="42">
        <f aca="true" t="shared" si="3" ref="I33:I42">F33/E33*100</f>
        <v>111.00673809523809</v>
      </c>
      <c r="J33" s="43"/>
    </row>
    <row r="34" spans="1:10" s="49" customFormat="1" ht="12.75">
      <c r="A34" s="45"/>
      <c r="B34" s="45">
        <v>75011</v>
      </c>
      <c r="C34" s="45"/>
      <c r="D34" s="45" t="s">
        <v>50</v>
      </c>
      <c r="E34" s="59">
        <f>SUM(E35)</f>
        <v>0</v>
      </c>
      <c r="F34" s="46">
        <f>SUM(F35)</f>
        <v>52.7</v>
      </c>
      <c r="G34" s="46">
        <f>SUM(G35)</f>
        <v>52.7</v>
      </c>
      <c r="H34" s="46">
        <f>SUM(H35)</f>
        <v>0</v>
      </c>
      <c r="I34" s="47" t="e">
        <f t="shared" si="3"/>
        <v>#DIV/0!</v>
      </c>
      <c r="J34" s="48"/>
    </row>
    <row r="35" spans="1:10" s="7" customFormat="1" ht="12.75">
      <c r="A35" s="36"/>
      <c r="B35" s="36"/>
      <c r="C35" s="36" t="s">
        <v>51</v>
      </c>
      <c r="D35" s="36" t="s">
        <v>52</v>
      </c>
      <c r="E35" s="37"/>
      <c r="F35" s="37">
        <v>52.7</v>
      </c>
      <c r="G35" s="50">
        <f>F35</f>
        <v>52.7</v>
      </c>
      <c r="H35" s="38"/>
      <c r="I35" s="57" t="e">
        <f t="shared" si="3"/>
        <v>#DIV/0!</v>
      </c>
      <c r="J35" s="2"/>
    </row>
    <row r="36" spans="1:10" s="49" customFormat="1" ht="12.75">
      <c r="A36" s="45"/>
      <c r="B36" s="45">
        <v>75023</v>
      </c>
      <c r="C36" s="45"/>
      <c r="D36" s="45" t="s">
        <v>53</v>
      </c>
      <c r="E36" s="59">
        <f>SUM(E37:E41)</f>
        <v>38000</v>
      </c>
      <c r="F36" s="46">
        <f>SUM(F37:F41)</f>
        <v>43010.130000000005</v>
      </c>
      <c r="G36" s="46">
        <f>SUM(G37:G41)</f>
        <v>43010.130000000005</v>
      </c>
      <c r="H36" s="46">
        <f>SUM(H37:H41)</f>
        <v>0</v>
      </c>
      <c r="I36" s="47">
        <f t="shared" si="3"/>
        <v>113.18455263157897</v>
      </c>
      <c r="J36" s="48"/>
    </row>
    <row r="37" spans="1:10" s="7" customFormat="1" ht="12.75">
      <c r="A37" s="36"/>
      <c r="B37" s="36"/>
      <c r="C37" s="36" t="s">
        <v>54</v>
      </c>
      <c r="D37" s="36" t="s">
        <v>55</v>
      </c>
      <c r="E37" s="37"/>
      <c r="F37" s="37">
        <v>3250</v>
      </c>
      <c r="G37" s="50">
        <f>F37</f>
        <v>3250</v>
      </c>
      <c r="H37" s="51"/>
      <c r="I37" s="52" t="e">
        <f t="shared" si="3"/>
        <v>#DIV/0!</v>
      </c>
      <c r="J37" s="2"/>
    </row>
    <row r="38" spans="1:9" ht="12.75">
      <c r="A38" s="36"/>
      <c r="B38" s="36"/>
      <c r="C38" s="36" t="s">
        <v>56</v>
      </c>
      <c r="D38" s="60" t="s">
        <v>57</v>
      </c>
      <c r="E38" s="37">
        <v>15000</v>
      </c>
      <c r="F38" s="37"/>
      <c r="G38" s="50">
        <f>F38</f>
        <v>0</v>
      </c>
      <c r="H38" s="51"/>
      <c r="I38" s="52">
        <f t="shared" si="3"/>
        <v>0</v>
      </c>
    </row>
    <row r="39" spans="1:9" ht="12.75">
      <c r="A39" s="36"/>
      <c r="B39" s="36"/>
      <c r="C39" s="36" t="s">
        <v>51</v>
      </c>
      <c r="D39" s="36" t="s">
        <v>52</v>
      </c>
      <c r="E39" s="37">
        <v>5000</v>
      </c>
      <c r="F39" s="37">
        <v>5357.5</v>
      </c>
      <c r="G39" s="50">
        <f>F39</f>
        <v>5357.5</v>
      </c>
      <c r="H39" s="51"/>
      <c r="I39" s="52">
        <f t="shared" si="3"/>
        <v>107.14999999999999</v>
      </c>
    </row>
    <row r="40" spans="1:9" ht="12.75">
      <c r="A40" s="36"/>
      <c r="B40" s="36"/>
      <c r="C40" s="36" t="s">
        <v>58</v>
      </c>
      <c r="D40" s="36" t="s">
        <v>59</v>
      </c>
      <c r="E40" s="37">
        <v>10000</v>
      </c>
      <c r="F40" s="37">
        <v>19642.45</v>
      </c>
      <c r="G40" s="50">
        <f>F40</f>
        <v>19642.45</v>
      </c>
      <c r="H40" s="51"/>
      <c r="I40" s="52">
        <f t="shared" si="3"/>
        <v>196.4245</v>
      </c>
    </row>
    <row r="41" spans="1:9" ht="12.75">
      <c r="A41" s="36"/>
      <c r="B41" s="36"/>
      <c r="C41" s="36" t="s">
        <v>27</v>
      </c>
      <c r="D41" s="36" t="s">
        <v>28</v>
      </c>
      <c r="E41" s="37">
        <v>8000</v>
      </c>
      <c r="F41" s="37">
        <v>14760.18</v>
      </c>
      <c r="G41" s="50">
        <f>F41</f>
        <v>14760.18</v>
      </c>
      <c r="H41" s="51"/>
      <c r="I41" s="52">
        <f t="shared" si="3"/>
        <v>184.50225</v>
      </c>
    </row>
    <row r="42" spans="1:10" s="49" customFormat="1" ht="12.75">
      <c r="A42" s="45"/>
      <c r="B42" s="45">
        <v>75075</v>
      </c>
      <c r="C42" s="45"/>
      <c r="D42" s="61" t="s">
        <v>60</v>
      </c>
      <c r="E42" s="46">
        <f>SUM(E43:E44)</f>
        <v>4000</v>
      </c>
      <c r="F42" s="46">
        <f>SUM(F43:F44)</f>
        <v>3560</v>
      </c>
      <c r="G42" s="46">
        <f>SUM(G43:G44)</f>
        <v>3560</v>
      </c>
      <c r="H42" s="46">
        <f>SUM(H43:H44)</f>
        <v>0</v>
      </c>
      <c r="I42" s="47">
        <f t="shared" si="3"/>
        <v>89</v>
      </c>
      <c r="J42" s="48"/>
    </row>
    <row r="43" spans="1:10" s="7" customFormat="1" ht="12.75">
      <c r="A43" s="36"/>
      <c r="B43" s="36"/>
      <c r="C43" s="36" t="s">
        <v>61</v>
      </c>
      <c r="D43" s="62" t="s">
        <v>62</v>
      </c>
      <c r="E43" s="37"/>
      <c r="F43" s="37">
        <v>3560</v>
      </c>
      <c r="G43" s="50">
        <f>F43</f>
        <v>3560</v>
      </c>
      <c r="H43" s="51"/>
      <c r="I43" s="52"/>
      <c r="J43" s="2"/>
    </row>
    <row r="44" spans="1:9" ht="12.75">
      <c r="A44" s="36"/>
      <c r="B44" s="36"/>
      <c r="C44" s="36" t="s">
        <v>27</v>
      </c>
      <c r="D44" s="36" t="s">
        <v>28</v>
      </c>
      <c r="E44" s="37">
        <v>4000</v>
      </c>
      <c r="F44" s="37"/>
      <c r="G44" s="50">
        <f>F44</f>
        <v>0</v>
      </c>
      <c r="H44" s="51"/>
      <c r="I44" s="52">
        <f>F44/E44*100</f>
        <v>0</v>
      </c>
    </row>
    <row r="45" spans="1:10" s="44" customFormat="1" ht="12.75">
      <c r="A45" s="40">
        <v>754</v>
      </c>
      <c r="B45" s="40"/>
      <c r="C45" s="40"/>
      <c r="D45" s="40" t="s">
        <v>63</v>
      </c>
      <c r="E45" s="58">
        <f>SUM(E46,E48:E48,E50)</f>
        <v>13000</v>
      </c>
      <c r="F45" s="41">
        <f>SUM(F46,F48:F48,F50)</f>
        <v>28308.53</v>
      </c>
      <c r="G45" s="41">
        <f>SUM(G46,G48:G48,G50)</f>
        <v>28308.53</v>
      </c>
      <c r="H45" s="41">
        <f>SUM(H46,H48:H48,H50)</f>
        <v>0</v>
      </c>
      <c r="I45" s="42">
        <f>F45/E45*100</f>
        <v>217.75792307692305</v>
      </c>
      <c r="J45" s="43"/>
    </row>
    <row r="46" spans="1:10" s="44" customFormat="1" ht="12.75">
      <c r="A46" s="40"/>
      <c r="B46" s="40">
        <v>75412</v>
      </c>
      <c r="C46" s="40"/>
      <c r="D46" s="40" t="s">
        <v>64</v>
      </c>
      <c r="E46" s="41">
        <f>SUM(E47)</f>
        <v>0</v>
      </c>
      <c r="F46" s="41">
        <f>SUM(F47)</f>
        <v>18275.03</v>
      </c>
      <c r="G46" s="41">
        <f>SUM(G47)</f>
        <v>18275.03</v>
      </c>
      <c r="H46" s="41">
        <f>SUM(H47)</f>
        <v>0</v>
      </c>
      <c r="I46" s="42"/>
      <c r="J46" s="43"/>
    </row>
    <row r="47" spans="1:10" s="7" customFormat="1" ht="12.75">
      <c r="A47" s="36"/>
      <c r="B47" s="36"/>
      <c r="C47" s="36" t="s">
        <v>27</v>
      </c>
      <c r="D47" s="36" t="s">
        <v>28</v>
      </c>
      <c r="E47" s="37"/>
      <c r="F47" s="37">
        <v>18275.03</v>
      </c>
      <c r="G47" s="50">
        <f>F47</f>
        <v>18275.03</v>
      </c>
      <c r="H47" s="51"/>
      <c r="I47" s="52"/>
      <c r="J47" s="2"/>
    </row>
    <row r="48" spans="1:10" s="49" customFormat="1" ht="12.75">
      <c r="A48" s="45"/>
      <c r="B48" s="45">
        <v>75416</v>
      </c>
      <c r="C48" s="45"/>
      <c r="D48" s="45" t="s">
        <v>65</v>
      </c>
      <c r="E48" s="46">
        <f>SUM(E49)</f>
        <v>13000</v>
      </c>
      <c r="F48" s="46">
        <f>SUM(F49)</f>
        <v>10002.1</v>
      </c>
      <c r="G48" s="46">
        <f>SUM(G49)</f>
        <v>10002.1</v>
      </c>
      <c r="H48" s="46">
        <f>SUM(H49)</f>
        <v>0</v>
      </c>
      <c r="I48" s="47">
        <f aca="true" t="shared" si="4" ref="I48:I79">F48/E48*100</f>
        <v>76.93923076923078</v>
      </c>
      <c r="J48" s="48"/>
    </row>
    <row r="49" spans="1:9" ht="12.75">
      <c r="A49" s="36"/>
      <c r="B49" s="36"/>
      <c r="C49" s="36" t="s">
        <v>66</v>
      </c>
      <c r="D49" s="36" t="s">
        <v>67</v>
      </c>
      <c r="E49" s="37">
        <v>13000</v>
      </c>
      <c r="F49" s="37">
        <v>10002.1</v>
      </c>
      <c r="G49" s="50">
        <f>F49</f>
        <v>10002.1</v>
      </c>
      <c r="H49" s="51"/>
      <c r="I49" s="52">
        <f t="shared" si="4"/>
        <v>76.93923076923078</v>
      </c>
    </row>
    <row r="50" spans="1:10" s="49" customFormat="1" ht="12.75">
      <c r="A50" s="45"/>
      <c r="B50" s="45">
        <v>75495</v>
      </c>
      <c r="C50" s="45"/>
      <c r="D50" s="45" t="s">
        <v>68</v>
      </c>
      <c r="E50" s="59">
        <f>SUM(E51)</f>
        <v>0</v>
      </c>
      <c r="F50" s="46">
        <f>SUM(F51)</f>
        <v>31.4</v>
      </c>
      <c r="G50" s="46">
        <f>SUM(G51)</f>
        <v>31.4</v>
      </c>
      <c r="H50" s="46">
        <f>SUM(H51)</f>
        <v>0</v>
      </c>
      <c r="I50" s="47" t="e">
        <f t="shared" si="4"/>
        <v>#DIV/0!</v>
      </c>
      <c r="J50" s="48"/>
    </row>
    <row r="51" spans="1:9" ht="12.75">
      <c r="A51" s="36"/>
      <c r="B51" s="36"/>
      <c r="C51" s="36" t="s">
        <v>27</v>
      </c>
      <c r="D51" s="36" t="s">
        <v>28</v>
      </c>
      <c r="E51" s="37"/>
      <c r="F51" s="37">
        <v>31.4</v>
      </c>
      <c r="G51" s="50">
        <f>F51</f>
        <v>31.4</v>
      </c>
      <c r="H51" s="51"/>
      <c r="I51" s="52" t="e">
        <f t="shared" si="4"/>
        <v>#DIV/0!</v>
      </c>
    </row>
    <row r="52" spans="1:10" s="44" customFormat="1" ht="12.75">
      <c r="A52" s="40">
        <v>756</v>
      </c>
      <c r="B52" s="40"/>
      <c r="C52" s="40"/>
      <c r="D52" s="40" t="s">
        <v>69</v>
      </c>
      <c r="E52" s="41">
        <f>SUM(E53,E76,E78,E73,E56,E63)</f>
        <v>15014000</v>
      </c>
      <c r="F52" s="41">
        <f>SUM(F53,F76,F78,F73,F56,F63)</f>
        <v>16393376.7</v>
      </c>
      <c r="G52" s="41">
        <f>SUM(G53,G76,G78,G73,G56,G63)</f>
        <v>16393376.7</v>
      </c>
      <c r="H52" s="41">
        <f>SUM(H53,H76,H78,H73,H56,H63)</f>
        <v>0</v>
      </c>
      <c r="I52" s="42">
        <f t="shared" si="4"/>
        <v>109.18726988144398</v>
      </c>
      <c r="J52" s="43"/>
    </row>
    <row r="53" spans="1:10" s="49" customFormat="1" ht="12.75">
      <c r="A53" s="45"/>
      <c r="B53" s="45">
        <v>75601</v>
      </c>
      <c r="C53" s="45"/>
      <c r="D53" s="45" t="s">
        <v>70</v>
      </c>
      <c r="E53" s="46">
        <f>SUM(E54:E55)</f>
        <v>2000</v>
      </c>
      <c r="F53" s="46">
        <f>SUM(F54:F55)</f>
        <v>3948.9</v>
      </c>
      <c r="G53" s="46">
        <f>SUM(G54:G55)</f>
        <v>3948.9</v>
      </c>
      <c r="H53" s="46">
        <f>SUM(H54:H55)</f>
        <v>0</v>
      </c>
      <c r="I53" s="47">
        <f t="shared" si="4"/>
        <v>197.445</v>
      </c>
      <c r="J53" s="48"/>
    </row>
    <row r="54" spans="1:9" ht="12.75">
      <c r="A54" s="36"/>
      <c r="B54" s="36"/>
      <c r="C54" s="36" t="s">
        <v>71</v>
      </c>
      <c r="D54" s="36" t="s">
        <v>72</v>
      </c>
      <c r="E54" s="37">
        <v>2000</v>
      </c>
      <c r="F54" s="37">
        <v>3517.9</v>
      </c>
      <c r="G54" s="50">
        <f>F54</f>
        <v>3517.9</v>
      </c>
      <c r="H54" s="51"/>
      <c r="I54" s="52">
        <f t="shared" si="4"/>
        <v>175.895</v>
      </c>
    </row>
    <row r="55" spans="1:9" ht="12.75">
      <c r="A55" s="36"/>
      <c r="B55" s="36"/>
      <c r="C55" s="36" t="s">
        <v>45</v>
      </c>
      <c r="D55" s="36" t="s">
        <v>73</v>
      </c>
      <c r="E55" s="37"/>
      <c r="F55" s="37">
        <v>431</v>
      </c>
      <c r="G55" s="50">
        <f>F55</f>
        <v>431</v>
      </c>
      <c r="H55" s="51"/>
      <c r="I55" s="52" t="e">
        <f t="shared" si="4"/>
        <v>#DIV/0!</v>
      </c>
    </row>
    <row r="56" spans="1:10" s="49" customFormat="1" ht="12.75">
      <c r="A56" s="45"/>
      <c r="B56" s="45">
        <v>75615</v>
      </c>
      <c r="C56" s="45"/>
      <c r="D56" s="45" t="s">
        <v>74</v>
      </c>
      <c r="E56" s="46">
        <f>SUM(E57:E62)</f>
        <v>4790000</v>
      </c>
      <c r="F56" s="46">
        <f>SUM(F57:F62)</f>
        <v>5256167.9399999995</v>
      </c>
      <c r="G56" s="46">
        <f>SUM(G57:G62)</f>
        <v>5256167.9399999995</v>
      </c>
      <c r="H56" s="46">
        <f>SUM(H57:H62)</f>
        <v>0</v>
      </c>
      <c r="I56" s="47">
        <f t="shared" si="4"/>
        <v>109.73210730688933</v>
      </c>
      <c r="J56" s="48"/>
    </row>
    <row r="57" spans="1:9" ht="12.75">
      <c r="A57" s="36"/>
      <c r="B57" s="36"/>
      <c r="C57" s="36" t="s">
        <v>75</v>
      </c>
      <c r="D57" s="36" t="s">
        <v>76</v>
      </c>
      <c r="E57" s="37">
        <f>3400000+600000-4000+624970-1000-624970+400000</f>
        <v>4395000</v>
      </c>
      <c r="F57" s="37">
        <v>4674084.13</v>
      </c>
      <c r="G57" s="50">
        <f aca="true" t="shared" si="5" ref="G57:G62">F57</f>
        <v>4674084.13</v>
      </c>
      <c r="H57" s="51"/>
      <c r="I57" s="52">
        <f t="shared" si="4"/>
        <v>106.35003708759953</v>
      </c>
    </row>
    <row r="58" spans="1:9" ht="12.75">
      <c r="A58" s="36"/>
      <c r="B58" s="36"/>
      <c r="C58" s="36" t="s">
        <v>77</v>
      </c>
      <c r="D58" s="36" t="s">
        <v>78</v>
      </c>
      <c r="E58" s="37">
        <v>90000</v>
      </c>
      <c r="F58" s="37">
        <v>103530.6</v>
      </c>
      <c r="G58" s="50">
        <f t="shared" si="5"/>
        <v>103530.6</v>
      </c>
      <c r="H58" s="51"/>
      <c r="I58" s="52">
        <f t="shared" si="4"/>
        <v>115.03400000000002</v>
      </c>
    </row>
    <row r="59" spans="1:9" ht="12.75">
      <c r="A59" s="36"/>
      <c r="B59" s="36"/>
      <c r="C59" s="36" t="s">
        <v>79</v>
      </c>
      <c r="D59" s="36" t="s">
        <v>80</v>
      </c>
      <c r="E59" s="37">
        <v>130000</v>
      </c>
      <c r="F59" s="37">
        <v>154120</v>
      </c>
      <c r="G59" s="50">
        <f t="shared" si="5"/>
        <v>154120</v>
      </c>
      <c r="H59" s="51"/>
      <c r="I59" s="52">
        <f t="shared" si="4"/>
        <v>118.55384615384614</v>
      </c>
    </row>
    <row r="60" spans="1:9" ht="12.75">
      <c r="A60" s="36"/>
      <c r="B60" s="36"/>
      <c r="C60" s="36" t="s">
        <v>81</v>
      </c>
      <c r="D60" s="36" t="s">
        <v>82</v>
      </c>
      <c r="E60" s="37">
        <v>140000</v>
      </c>
      <c r="F60" s="37">
        <v>142417.21</v>
      </c>
      <c r="G60" s="50">
        <f t="shared" si="5"/>
        <v>142417.21</v>
      </c>
      <c r="H60" s="51"/>
      <c r="I60" s="52">
        <f t="shared" si="4"/>
        <v>101.72657857142858</v>
      </c>
    </row>
    <row r="61" spans="1:9" ht="12.75">
      <c r="A61" s="36"/>
      <c r="B61" s="36"/>
      <c r="C61" s="36" t="s">
        <v>56</v>
      </c>
      <c r="D61" s="55" t="s">
        <v>57</v>
      </c>
      <c r="E61" s="37">
        <v>5000</v>
      </c>
      <c r="F61" s="37">
        <v>3223</v>
      </c>
      <c r="G61" s="50">
        <f t="shared" si="5"/>
        <v>3223</v>
      </c>
      <c r="H61" s="51"/>
      <c r="I61" s="52">
        <f t="shared" si="4"/>
        <v>64.46</v>
      </c>
    </row>
    <row r="62" spans="1:9" ht="12.75">
      <c r="A62" s="36"/>
      <c r="B62" s="36"/>
      <c r="C62" s="36" t="s">
        <v>45</v>
      </c>
      <c r="D62" s="36" t="s">
        <v>73</v>
      </c>
      <c r="E62" s="37">
        <v>30000</v>
      </c>
      <c r="F62" s="37">
        <v>178793</v>
      </c>
      <c r="G62" s="50">
        <f t="shared" si="5"/>
        <v>178793</v>
      </c>
      <c r="H62" s="51"/>
      <c r="I62" s="52">
        <f t="shared" si="4"/>
        <v>595.9766666666667</v>
      </c>
    </row>
    <row r="63" spans="1:10" s="49" customFormat="1" ht="12.75">
      <c r="A63" s="45"/>
      <c r="B63" s="45">
        <v>75616</v>
      </c>
      <c r="C63" s="45"/>
      <c r="D63" s="45" t="s">
        <v>83</v>
      </c>
      <c r="E63" s="46">
        <f>SUM(E64:E72)</f>
        <v>4255000</v>
      </c>
      <c r="F63" s="46">
        <f>SUM(F64:F72)</f>
        <v>4683862.359999999</v>
      </c>
      <c r="G63" s="46">
        <f>SUM(G64:G72)</f>
        <v>4683862.359999999</v>
      </c>
      <c r="H63" s="46">
        <f>SUM(H64:H72)</f>
        <v>0</v>
      </c>
      <c r="I63" s="47">
        <f t="shared" si="4"/>
        <v>110.079021386604</v>
      </c>
      <c r="J63" s="48"/>
    </row>
    <row r="64" spans="1:9" ht="12.75">
      <c r="A64" s="36"/>
      <c r="B64" s="36"/>
      <c r="C64" s="36" t="s">
        <v>75</v>
      </c>
      <c r="D64" s="36" t="s">
        <v>76</v>
      </c>
      <c r="E64" s="37">
        <f>2400000+400000-405000-100000</f>
        <v>2295000</v>
      </c>
      <c r="F64" s="37">
        <v>2349479.86</v>
      </c>
      <c r="G64" s="50">
        <f aca="true" t="shared" si="6" ref="G64:G72">F64</f>
        <v>2349479.86</v>
      </c>
      <c r="H64" s="51"/>
      <c r="I64" s="52">
        <f t="shared" si="4"/>
        <v>102.37385010893246</v>
      </c>
    </row>
    <row r="65" spans="1:9" ht="12.75">
      <c r="A65" s="36"/>
      <c r="B65" s="36"/>
      <c r="C65" s="36" t="s">
        <v>77</v>
      </c>
      <c r="D65" s="36" t="s">
        <v>78</v>
      </c>
      <c r="E65" s="37">
        <v>670000</v>
      </c>
      <c r="F65" s="37">
        <v>823308.47</v>
      </c>
      <c r="G65" s="50">
        <f t="shared" si="6"/>
        <v>823308.47</v>
      </c>
      <c r="H65" s="51"/>
      <c r="I65" s="52">
        <f t="shared" si="4"/>
        <v>122.88186119402984</v>
      </c>
    </row>
    <row r="66" spans="1:9" ht="12.75">
      <c r="A66" s="36"/>
      <c r="B66" s="36"/>
      <c r="C66" s="36" t="s">
        <v>79</v>
      </c>
      <c r="D66" s="36" t="s">
        <v>80</v>
      </c>
      <c r="E66" s="37">
        <v>50000</v>
      </c>
      <c r="F66" s="37">
        <v>43666.61</v>
      </c>
      <c r="G66" s="50">
        <f t="shared" si="6"/>
        <v>43666.61</v>
      </c>
      <c r="H66" s="51"/>
      <c r="I66" s="52">
        <f t="shared" si="4"/>
        <v>87.33322</v>
      </c>
    </row>
    <row r="67" spans="1:9" ht="12.75">
      <c r="A67" s="36"/>
      <c r="B67" s="36"/>
      <c r="C67" s="36" t="s">
        <v>81</v>
      </c>
      <c r="D67" s="36" t="s">
        <v>82</v>
      </c>
      <c r="E67" s="37">
        <v>200000</v>
      </c>
      <c r="F67" s="37">
        <v>261294.78</v>
      </c>
      <c r="G67" s="50">
        <f t="shared" si="6"/>
        <v>261294.78</v>
      </c>
      <c r="H67" s="51"/>
      <c r="I67" s="52">
        <f t="shared" si="4"/>
        <v>130.64739</v>
      </c>
    </row>
    <row r="68" spans="1:9" ht="12.75">
      <c r="A68" s="36"/>
      <c r="B68" s="36"/>
      <c r="C68" s="36" t="s">
        <v>84</v>
      </c>
      <c r="D68" s="36" t="s">
        <v>85</v>
      </c>
      <c r="E68" s="37">
        <v>40000</v>
      </c>
      <c r="F68" s="37">
        <v>18925.2</v>
      </c>
      <c r="G68" s="50">
        <f t="shared" si="6"/>
        <v>18925.2</v>
      </c>
      <c r="H68" s="51"/>
      <c r="I68" s="52">
        <f t="shared" si="4"/>
        <v>47.313</v>
      </c>
    </row>
    <row r="69" spans="1:9" ht="12.75">
      <c r="A69" s="36"/>
      <c r="B69" s="36"/>
      <c r="C69" s="36" t="s">
        <v>86</v>
      </c>
      <c r="D69" s="36" t="s">
        <v>87</v>
      </c>
      <c r="E69" s="37">
        <v>600000</v>
      </c>
      <c r="F69" s="37">
        <v>638375.29</v>
      </c>
      <c r="G69" s="50">
        <f t="shared" si="6"/>
        <v>638375.29</v>
      </c>
      <c r="H69" s="51"/>
      <c r="I69" s="52">
        <f t="shared" si="4"/>
        <v>106.39588166666667</v>
      </c>
    </row>
    <row r="70" spans="1:9" ht="12.75">
      <c r="A70" s="36"/>
      <c r="B70" s="36"/>
      <c r="C70" s="36" t="s">
        <v>88</v>
      </c>
      <c r="D70" s="36" t="s">
        <v>89</v>
      </c>
      <c r="E70" s="37">
        <v>20000</v>
      </c>
      <c r="F70" s="37">
        <v>25849</v>
      </c>
      <c r="G70" s="50">
        <f t="shared" si="6"/>
        <v>25849</v>
      </c>
      <c r="H70" s="51"/>
      <c r="I70" s="52">
        <f t="shared" si="4"/>
        <v>129.245</v>
      </c>
    </row>
    <row r="71" spans="1:9" ht="12.75">
      <c r="A71" s="36"/>
      <c r="B71" s="36"/>
      <c r="C71" s="36" t="s">
        <v>56</v>
      </c>
      <c r="D71" s="55" t="s">
        <v>57</v>
      </c>
      <c r="E71" s="37">
        <f>300000+50000</f>
        <v>350000</v>
      </c>
      <c r="F71" s="37">
        <v>442012.85</v>
      </c>
      <c r="G71" s="50">
        <f t="shared" si="6"/>
        <v>442012.85</v>
      </c>
      <c r="H71" s="51"/>
      <c r="I71" s="52">
        <f t="shared" si="4"/>
        <v>126.28938571428571</v>
      </c>
    </row>
    <row r="72" spans="1:9" ht="12.75">
      <c r="A72" s="36"/>
      <c r="B72" s="36"/>
      <c r="C72" s="36" t="s">
        <v>45</v>
      </c>
      <c r="D72" s="36" t="s">
        <v>73</v>
      </c>
      <c r="E72" s="37">
        <v>30000</v>
      </c>
      <c r="F72" s="37">
        <v>80950.3</v>
      </c>
      <c r="G72" s="50">
        <f t="shared" si="6"/>
        <v>80950.3</v>
      </c>
      <c r="H72" s="51"/>
      <c r="I72" s="52">
        <f t="shared" si="4"/>
        <v>269.83433333333335</v>
      </c>
    </row>
    <row r="73" spans="1:10" s="49" customFormat="1" ht="12.75">
      <c r="A73" s="45"/>
      <c r="B73" s="45">
        <v>75618</v>
      </c>
      <c r="C73" s="45"/>
      <c r="D73" s="45" t="s">
        <v>90</v>
      </c>
      <c r="E73" s="59">
        <f>SUM(E74:E75)</f>
        <v>280000</v>
      </c>
      <c r="F73" s="46">
        <f>SUM(F74:F75)</f>
        <v>409746.22000000003</v>
      </c>
      <c r="G73" s="46">
        <f>SUM(G74:G75)</f>
        <v>409746.22000000003</v>
      </c>
      <c r="H73" s="46">
        <f>SUM(H74:H75)</f>
        <v>0</v>
      </c>
      <c r="I73" s="47">
        <f t="shared" si="4"/>
        <v>146.33793571428572</v>
      </c>
      <c r="J73" s="48"/>
    </row>
    <row r="74" spans="1:9" ht="12.75">
      <c r="A74" s="36"/>
      <c r="B74" s="36"/>
      <c r="C74" s="36" t="s">
        <v>91</v>
      </c>
      <c r="D74" s="36" t="s">
        <v>92</v>
      </c>
      <c r="E74" s="37">
        <v>100000</v>
      </c>
      <c r="F74" s="37">
        <v>111913.27</v>
      </c>
      <c r="G74" s="50">
        <f>F74</f>
        <v>111913.27</v>
      </c>
      <c r="H74" s="51"/>
      <c r="I74" s="52">
        <f t="shared" si="4"/>
        <v>111.91327</v>
      </c>
    </row>
    <row r="75" spans="1:9" ht="12.75">
      <c r="A75" s="36"/>
      <c r="B75" s="36"/>
      <c r="C75" s="36" t="s">
        <v>93</v>
      </c>
      <c r="D75" s="36" t="s">
        <v>94</v>
      </c>
      <c r="E75" s="37">
        <v>180000</v>
      </c>
      <c r="F75" s="37">
        <v>297832.95</v>
      </c>
      <c r="G75" s="50">
        <f>F75</f>
        <v>297832.95</v>
      </c>
      <c r="H75" s="51"/>
      <c r="I75" s="52">
        <f t="shared" si="4"/>
        <v>165.46275000000003</v>
      </c>
    </row>
    <row r="76" spans="1:10" s="49" customFormat="1" ht="12.75">
      <c r="A76" s="45"/>
      <c r="B76" s="45">
        <v>75619</v>
      </c>
      <c r="C76" s="45"/>
      <c r="D76" s="45" t="s">
        <v>95</v>
      </c>
      <c r="E76" s="46">
        <f>SUM(E77:E77)</f>
        <v>7000</v>
      </c>
      <c r="F76" s="46">
        <f>SUM(F77:F77)</f>
        <v>19645.84</v>
      </c>
      <c r="G76" s="46">
        <f>SUM(G77:G77)</f>
        <v>19645.84</v>
      </c>
      <c r="H76" s="46">
        <f>SUM(H77:H77)</f>
        <v>0</v>
      </c>
      <c r="I76" s="47">
        <f t="shared" si="4"/>
        <v>280.65485714285717</v>
      </c>
      <c r="J76" s="48"/>
    </row>
    <row r="77" spans="1:9" ht="12.75">
      <c r="A77" s="36"/>
      <c r="B77" s="36"/>
      <c r="C77" s="36" t="s">
        <v>96</v>
      </c>
      <c r="D77" s="36" t="s">
        <v>97</v>
      </c>
      <c r="E77" s="37">
        <v>7000</v>
      </c>
      <c r="F77" s="37">
        <v>19645.84</v>
      </c>
      <c r="G77" s="50">
        <f>F77</f>
        <v>19645.84</v>
      </c>
      <c r="H77" s="51"/>
      <c r="I77" s="52">
        <f t="shared" si="4"/>
        <v>280.65485714285717</v>
      </c>
    </row>
    <row r="78" spans="1:10" s="49" customFormat="1" ht="12.75">
      <c r="A78" s="45"/>
      <c r="B78" s="45">
        <v>75621</v>
      </c>
      <c r="C78" s="45"/>
      <c r="D78" s="45" t="s">
        <v>98</v>
      </c>
      <c r="E78" s="46">
        <f>SUM(E79:E80)</f>
        <v>5680000</v>
      </c>
      <c r="F78" s="46">
        <f>SUM(F79:F80)</f>
        <v>6020005.44</v>
      </c>
      <c r="G78" s="46">
        <f>SUM(G79:G80)</f>
        <v>6020005.44</v>
      </c>
      <c r="H78" s="46">
        <f>SUM(H79:H80)</f>
        <v>0</v>
      </c>
      <c r="I78" s="47">
        <f t="shared" si="4"/>
        <v>105.98601126760565</v>
      </c>
      <c r="J78" s="48"/>
    </row>
    <row r="79" spans="1:9" ht="12.75">
      <c r="A79" s="36"/>
      <c r="B79" s="36"/>
      <c r="C79" s="36" t="s">
        <v>99</v>
      </c>
      <c r="D79" s="36" t="s">
        <v>100</v>
      </c>
      <c r="E79" s="37">
        <f>5300000+400000-700000+300000</f>
        <v>5300000</v>
      </c>
      <c r="F79" s="37">
        <v>5619236</v>
      </c>
      <c r="G79" s="50">
        <f>F79</f>
        <v>5619236</v>
      </c>
      <c r="H79" s="51"/>
      <c r="I79" s="52">
        <f t="shared" si="4"/>
        <v>106.02332075471699</v>
      </c>
    </row>
    <row r="80" spans="1:9" ht="12.75">
      <c r="A80" s="36"/>
      <c r="B80" s="36"/>
      <c r="C80" s="36" t="s">
        <v>101</v>
      </c>
      <c r="D80" s="36" t="s">
        <v>102</v>
      </c>
      <c r="E80" s="37">
        <f>150000+230000</f>
        <v>380000</v>
      </c>
      <c r="F80" s="37">
        <v>400769.44</v>
      </c>
      <c r="G80" s="50">
        <f>F80</f>
        <v>400769.44</v>
      </c>
      <c r="H80" s="51"/>
      <c r="I80" s="52">
        <f aca="true" t="shared" si="7" ref="I80:I99">F80/E80*100</f>
        <v>105.46564210526317</v>
      </c>
    </row>
    <row r="81" spans="1:10" s="44" customFormat="1" ht="12.75">
      <c r="A81" s="40">
        <v>757</v>
      </c>
      <c r="B81" s="40"/>
      <c r="C81" s="40"/>
      <c r="D81" s="40" t="s">
        <v>103</v>
      </c>
      <c r="E81" s="41">
        <f>SUM(E82)</f>
        <v>52029</v>
      </c>
      <c r="F81" s="41">
        <f>SUM(F82)</f>
        <v>52465.81</v>
      </c>
      <c r="G81" s="41">
        <f>SUM(G82)</f>
        <v>52465.81</v>
      </c>
      <c r="H81" s="41">
        <f>SUM(H82)</f>
        <v>0</v>
      </c>
      <c r="I81" s="42">
        <f t="shared" si="7"/>
        <v>100.83955101962367</v>
      </c>
      <c r="J81" s="43"/>
    </row>
    <row r="82" spans="1:10" s="49" customFormat="1" ht="12.75">
      <c r="A82" s="45"/>
      <c r="B82" s="45">
        <v>75704</v>
      </c>
      <c r="C82" s="45"/>
      <c r="D82" s="45" t="s">
        <v>104</v>
      </c>
      <c r="E82" s="46">
        <f>SUM(E83:E83)</f>
        <v>52029</v>
      </c>
      <c r="F82" s="46">
        <f>SUM(F83:F83)</f>
        <v>52465.81</v>
      </c>
      <c r="G82" s="46">
        <f>SUM(G83:G83)</f>
        <v>52465.81</v>
      </c>
      <c r="H82" s="46">
        <f>SUM(H83:H83)</f>
        <v>0</v>
      </c>
      <c r="I82" s="47">
        <f t="shared" si="7"/>
        <v>100.83955101962367</v>
      </c>
      <c r="J82" s="48"/>
    </row>
    <row r="83" spans="1:9" ht="12.75">
      <c r="A83" s="36"/>
      <c r="B83" s="36"/>
      <c r="C83" s="36">
        <v>8020</v>
      </c>
      <c r="D83" s="36" t="s">
        <v>105</v>
      </c>
      <c r="E83" s="37">
        <v>52029</v>
      </c>
      <c r="F83" s="37">
        <v>52465.81</v>
      </c>
      <c r="G83" s="50">
        <f>F83</f>
        <v>52465.81</v>
      </c>
      <c r="H83" s="51"/>
      <c r="I83" s="52">
        <f t="shared" si="7"/>
        <v>100.83955101962367</v>
      </c>
    </row>
    <row r="84" spans="1:10" s="44" customFormat="1" ht="12.75">
      <c r="A84" s="40">
        <v>758</v>
      </c>
      <c r="B84" s="40"/>
      <c r="C84" s="40"/>
      <c r="D84" s="40" t="s">
        <v>106</v>
      </c>
      <c r="E84" s="41">
        <f aca="true" t="shared" si="8" ref="E84:H85">SUM(E85)</f>
        <v>133292</v>
      </c>
      <c r="F84" s="41">
        <f t="shared" si="8"/>
        <v>183384.3</v>
      </c>
      <c r="G84" s="41">
        <f t="shared" si="8"/>
        <v>183384.3</v>
      </c>
      <c r="H84" s="41">
        <f t="shared" si="8"/>
        <v>0</v>
      </c>
      <c r="I84" s="42">
        <f t="shared" si="7"/>
        <v>137.5808750712721</v>
      </c>
      <c r="J84" s="43"/>
    </row>
    <row r="85" spans="1:10" s="49" customFormat="1" ht="12.75">
      <c r="A85" s="45"/>
      <c r="B85" s="45">
        <v>75814</v>
      </c>
      <c r="C85" s="45"/>
      <c r="D85" s="45" t="s">
        <v>107</v>
      </c>
      <c r="E85" s="46">
        <f t="shared" si="8"/>
        <v>133292</v>
      </c>
      <c r="F85" s="46">
        <f t="shared" si="8"/>
        <v>183384.3</v>
      </c>
      <c r="G85" s="46">
        <f t="shared" si="8"/>
        <v>183384.3</v>
      </c>
      <c r="H85" s="46">
        <f t="shared" si="8"/>
        <v>0</v>
      </c>
      <c r="I85" s="47">
        <f t="shared" si="7"/>
        <v>137.5808750712721</v>
      </c>
      <c r="J85" s="48"/>
    </row>
    <row r="86" spans="1:9" ht="12.75">
      <c r="A86" s="36"/>
      <c r="B86" s="36"/>
      <c r="C86" s="36" t="s">
        <v>108</v>
      </c>
      <c r="D86" s="36" t="s">
        <v>109</v>
      </c>
      <c r="E86" s="37">
        <f>60000+40002+40-46750+80000</f>
        <v>133292</v>
      </c>
      <c r="F86" s="37">
        <v>183384.3</v>
      </c>
      <c r="G86" s="50">
        <f>F86</f>
        <v>183384.3</v>
      </c>
      <c r="H86" s="51"/>
      <c r="I86" s="52">
        <f t="shared" si="7"/>
        <v>137.5808750712721</v>
      </c>
    </row>
    <row r="87" spans="1:10" s="44" customFormat="1" ht="12.75">
      <c r="A87" s="40">
        <v>801</v>
      </c>
      <c r="B87" s="40"/>
      <c r="C87" s="40"/>
      <c r="D87" s="40" t="s">
        <v>110</v>
      </c>
      <c r="E87" s="41">
        <f>SUM(E88,E94,E96,E90)</f>
        <v>321000</v>
      </c>
      <c r="F87" s="41">
        <f>SUM(F88,F94,F96,F90)</f>
        <v>320779.67000000004</v>
      </c>
      <c r="G87" s="41">
        <f>SUM(G88,G94,G96,G90)</f>
        <v>320779.67000000004</v>
      </c>
      <c r="H87" s="41">
        <f>SUM(H88,H94,H96,H90)</f>
        <v>0</v>
      </c>
      <c r="I87" s="42">
        <f t="shared" si="7"/>
        <v>99.93136137071652</v>
      </c>
      <c r="J87" s="43"/>
    </row>
    <row r="88" spans="1:10" s="49" customFormat="1" ht="12.75">
      <c r="A88" s="45"/>
      <c r="B88" s="45">
        <v>80101</v>
      </c>
      <c r="C88" s="45"/>
      <c r="D88" s="45" t="s">
        <v>111</v>
      </c>
      <c r="E88" s="46">
        <f>SUM(E89:E89)</f>
        <v>10000</v>
      </c>
      <c r="F88" s="46">
        <f>SUM(F89:F89)</f>
        <v>4788.22</v>
      </c>
      <c r="G88" s="46">
        <f>SUM(G89:G89)</f>
        <v>4788.22</v>
      </c>
      <c r="H88" s="46">
        <f>SUM(H89:H89)</f>
        <v>0</v>
      </c>
      <c r="I88" s="47">
        <f t="shared" si="7"/>
        <v>47.882200000000005</v>
      </c>
      <c r="J88" s="48"/>
    </row>
    <row r="89" spans="1:9" ht="12.75">
      <c r="A89" s="36"/>
      <c r="B89" s="36"/>
      <c r="C89" s="36" t="s">
        <v>58</v>
      </c>
      <c r="D89" s="36" t="s">
        <v>59</v>
      </c>
      <c r="E89" s="37">
        <v>10000</v>
      </c>
      <c r="F89" s="37">
        <v>4788.22</v>
      </c>
      <c r="G89" s="50">
        <f>F89</f>
        <v>4788.22</v>
      </c>
      <c r="H89" s="51"/>
      <c r="I89" s="52">
        <f t="shared" si="7"/>
        <v>47.882200000000005</v>
      </c>
    </row>
    <row r="90" spans="1:10" s="49" customFormat="1" ht="12.75">
      <c r="A90" s="45"/>
      <c r="B90" s="45">
        <v>80104</v>
      </c>
      <c r="C90" s="45"/>
      <c r="D90" s="45" t="s">
        <v>112</v>
      </c>
      <c r="E90" s="46">
        <f>SUM(E91:E93)</f>
        <v>303000</v>
      </c>
      <c r="F90" s="46">
        <f>SUM(F91:F93)</f>
        <v>305602.62000000005</v>
      </c>
      <c r="G90" s="46">
        <f>SUM(G91:G93)</f>
        <v>305602.62000000005</v>
      </c>
      <c r="H90" s="46">
        <f>SUM(H91:H93)</f>
        <v>0</v>
      </c>
      <c r="I90" s="47">
        <f t="shared" si="7"/>
        <v>100.85895049504951</v>
      </c>
      <c r="J90" s="48"/>
    </row>
    <row r="91" spans="1:9" ht="12.75">
      <c r="A91" s="36"/>
      <c r="B91" s="36"/>
      <c r="C91" s="36" t="s">
        <v>58</v>
      </c>
      <c r="D91" s="36" t="s">
        <v>59</v>
      </c>
      <c r="E91" s="37">
        <f>323000-20000</f>
        <v>303000</v>
      </c>
      <c r="F91" s="37">
        <v>302614.78</v>
      </c>
      <c r="G91" s="50">
        <f>F91</f>
        <v>302614.78</v>
      </c>
      <c r="H91" s="51"/>
      <c r="I91" s="52">
        <f t="shared" si="7"/>
        <v>99.87286468646866</v>
      </c>
    </row>
    <row r="92" spans="1:9" ht="12.75">
      <c r="A92" s="36"/>
      <c r="B92" s="36"/>
      <c r="C92" s="36" t="s">
        <v>45</v>
      </c>
      <c r="D92" s="36" t="s">
        <v>113</v>
      </c>
      <c r="E92" s="37"/>
      <c r="F92" s="37">
        <v>582.84</v>
      </c>
      <c r="G92" s="50">
        <f>F92</f>
        <v>582.84</v>
      </c>
      <c r="H92" s="51"/>
      <c r="I92" s="52" t="e">
        <f t="shared" si="7"/>
        <v>#DIV/0!</v>
      </c>
    </row>
    <row r="93" spans="1:9" ht="12.75">
      <c r="A93" s="36"/>
      <c r="B93" s="36"/>
      <c r="C93" s="36" t="s">
        <v>27</v>
      </c>
      <c r="D93" s="36" t="s">
        <v>28</v>
      </c>
      <c r="E93" s="37"/>
      <c r="F93" s="37">
        <v>2405</v>
      </c>
      <c r="G93" s="50">
        <f>F93</f>
        <v>2405</v>
      </c>
      <c r="H93" s="51"/>
      <c r="I93" s="52" t="e">
        <f t="shared" si="7"/>
        <v>#DIV/0!</v>
      </c>
    </row>
    <row r="94" spans="1:10" s="49" customFormat="1" ht="12.75">
      <c r="A94" s="45"/>
      <c r="B94" s="45">
        <v>80110</v>
      </c>
      <c r="C94" s="45"/>
      <c r="D94" s="45" t="s">
        <v>114</v>
      </c>
      <c r="E94" s="46">
        <f>SUM(E95)</f>
        <v>8000</v>
      </c>
      <c r="F94" s="46">
        <f>SUM(F95)</f>
        <v>10185.2</v>
      </c>
      <c r="G94" s="46">
        <f>SUM(G95)</f>
        <v>10185.2</v>
      </c>
      <c r="H94" s="46">
        <f>SUM(H95)</f>
        <v>0</v>
      </c>
      <c r="I94" s="47">
        <f t="shared" si="7"/>
        <v>127.315</v>
      </c>
      <c r="J94" s="48"/>
    </row>
    <row r="95" spans="1:9" ht="12.75">
      <c r="A95" s="36"/>
      <c r="B95" s="36"/>
      <c r="C95" s="36" t="s">
        <v>58</v>
      </c>
      <c r="D95" s="36" t="s">
        <v>59</v>
      </c>
      <c r="E95" s="37">
        <v>8000</v>
      </c>
      <c r="F95" s="37">
        <v>10185.2</v>
      </c>
      <c r="G95" s="50">
        <f>F95</f>
        <v>10185.2</v>
      </c>
      <c r="H95" s="51"/>
      <c r="I95" s="52">
        <f t="shared" si="7"/>
        <v>127.315</v>
      </c>
    </row>
    <row r="96" spans="1:10" s="49" customFormat="1" ht="12.75">
      <c r="A96" s="45"/>
      <c r="B96" s="45">
        <v>80113</v>
      </c>
      <c r="C96" s="45"/>
      <c r="D96" s="45" t="s">
        <v>115</v>
      </c>
      <c r="E96" s="46">
        <f>SUM(E97)</f>
        <v>0</v>
      </c>
      <c r="F96" s="46">
        <f>SUM(F97)</f>
        <v>203.63</v>
      </c>
      <c r="G96" s="46">
        <f>SUM(G97)</f>
        <v>203.63</v>
      </c>
      <c r="H96" s="46">
        <f>SUM(H97)</f>
        <v>0</v>
      </c>
      <c r="I96" s="47" t="e">
        <f t="shared" si="7"/>
        <v>#DIV/0!</v>
      </c>
      <c r="J96" s="48"/>
    </row>
    <row r="97" spans="1:9" ht="12.75">
      <c r="A97" s="36"/>
      <c r="B97" s="36"/>
      <c r="C97" s="36" t="s">
        <v>58</v>
      </c>
      <c r="D97" s="36" t="s">
        <v>59</v>
      </c>
      <c r="E97" s="37"/>
      <c r="F97" s="37">
        <v>203.63</v>
      </c>
      <c r="G97" s="50">
        <f>F97</f>
        <v>203.63</v>
      </c>
      <c r="H97" s="51"/>
      <c r="I97" s="52" t="e">
        <f t="shared" si="7"/>
        <v>#DIV/0!</v>
      </c>
    </row>
    <row r="98" spans="1:10" s="44" customFormat="1" ht="12.75">
      <c r="A98" s="40">
        <v>852</v>
      </c>
      <c r="B98" s="40"/>
      <c r="C98" s="40"/>
      <c r="D98" s="40" t="s">
        <v>116</v>
      </c>
      <c r="E98" s="58">
        <f>SUM(E99,E103,E105,E108)</f>
        <v>307000</v>
      </c>
      <c r="F98" s="41">
        <f>SUM(F99,F103,F105,F108)</f>
        <v>363242.44999999995</v>
      </c>
      <c r="G98" s="41">
        <f>SUM(G99,G103,G105,G108)</f>
        <v>363242.44999999995</v>
      </c>
      <c r="H98" s="41">
        <f>SUM(H99,H103,H105,H108)</f>
        <v>0</v>
      </c>
      <c r="I98" s="42">
        <f t="shared" si="7"/>
        <v>118.32001628664494</v>
      </c>
      <c r="J98" s="43"/>
    </row>
    <row r="99" spans="1:10" s="49" customFormat="1" ht="12.75">
      <c r="A99" s="45"/>
      <c r="B99" s="45">
        <v>85212</v>
      </c>
      <c r="C99" s="45"/>
      <c r="D99" s="45" t="s">
        <v>117</v>
      </c>
      <c r="E99" s="46">
        <f>SUM(E100:E102)</f>
        <v>39000</v>
      </c>
      <c r="F99" s="46">
        <f>SUM(F100:F102)</f>
        <v>82489.32</v>
      </c>
      <c r="G99" s="46">
        <f>SUM(G100:G102)</f>
        <v>82489.32</v>
      </c>
      <c r="H99" s="46">
        <f>SUM(H100:H102)</f>
        <v>0</v>
      </c>
      <c r="I99" s="47">
        <f t="shared" si="7"/>
        <v>211.51107692307693</v>
      </c>
      <c r="J99" s="48"/>
    </row>
    <row r="100" spans="1:10" s="7" customFormat="1" ht="12.75">
      <c r="A100" s="36"/>
      <c r="B100" s="36"/>
      <c r="C100" s="36" t="s">
        <v>108</v>
      </c>
      <c r="D100" s="36" t="s">
        <v>109</v>
      </c>
      <c r="E100" s="37">
        <v>1000</v>
      </c>
      <c r="F100" s="37">
        <v>764.94</v>
      </c>
      <c r="G100" s="50">
        <f>F100</f>
        <v>764.94</v>
      </c>
      <c r="H100" s="51"/>
      <c r="I100" s="52"/>
      <c r="J100" s="2"/>
    </row>
    <row r="101" spans="1:9" ht="12.75">
      <c r="A101" s="36"/>
      <c r="B101" s="36"/>
      <c r="C101" s="36" t="s">
        <v>118</v>
      </c>
      <c r="D101" s="36" t="s">
        <v>28</v>
      </c>
      <c r="E101" s="37">
        <v>14000</v>
      </c>
      <c r="F101" s="63">
        <v>57731.34</v>
      </c>
      <c r="G101" s="64">
        <f>F101</f>
        <v>57731.34</v>
      </c>
      <c r="H101" s="65"/>
      <c r="I101" s="52">
        <f>F101/E101*100</f>
        <v>412.36671428571424</v>
      </c>
    </row>
    <row r="102" spans="1:9" ht="12.75">
      <c r="A102" s="36"/>
      <c r="B102" s="36"/>
      <c r="C102" s="36">
        <v>2910</v>
      </c>
      <c r="D102" s="36" t="s">
        <v>119</v>
      </c>
      <c r="E102" s="37">
        <f>11000+10000+3000</f>
        <v>24000</v>
      </c>
      <c r="F102" s="50">
        <v>23993.04</v>
      </c>
      <c r="G102" s="50">
        <f>SUM(F102)</f>
        <v>23993.04</v>
      </c>
      <c r="H102" s="38"/>
      <c r="I102" s="52"/>
    </row>
    <row r="103" spans="1:10" s="49" customFormat="1" ht="12.75">
      <c r="A103" s="45"/>
      <c r="B103" s="45">
        <v>85215</v>
      </c>
      <c r="C103" s="45"/>
      <c r="D103" s="45" t="s">
        <v>120</v>
      </c>
      <c r="E103" s="59">
        <f>SUM(E104)</f>
        <v>0</v>
      </c>
      <c r="F103" s="66">
        <f>SUM(F104)</f>
        <v>473.47</v>
      </c>
      <c r="G103" s="66">
        <f>SUM(G104)</f>
        <v>473.47</v>
      </c>
      <c r="H103" s="66">
        <f>SUM(H104)</f>
        <v>0</v>
      </c>
      <c r="I103" s="47" t="e">
        <f>F103/E103*100</f>
        <v>#DIV/0!</v>
      </c>
      <c r="J103" s="48"/>
    </row>
    <row r="104" spans="1:9" ht="12.75">
      <c r="A104" s="36"/>
      <c r="B104" s="36"/>
      <c r="C104" s="36" t="s">
        <v>27</v>
      </c>
      <c r="D104" s="36" t="s">
        <v>28</v>
      </c>
      <c r="E104" s="37"/>
      <c r="F104" s="37">
        <v>473.47</v>
      </c>
      <c r="G104" s="50">
        <f>F104</f>
        <v>473.47</v>
      </c>
      <c r="H104" s="51"/>
      <c r="I104" s="52" t="e">
        <f>F104/E104*100</f>
        <v>#DIV/0!</v>
      </c>
    </row>
    <row r="105" spans="1:10" s="49" customFormat="1" ht="12.75">
      <c r="A105" s="45"/>
      <c r="B105" s="45">
        <v>85219</v>
      </c>
      <c r="C105" s="45"/>
      <c r="D105" s="45" t="s">
        <v>121</v>
      </c>
      <c r="E105" s="59">
        <f>SUM(E106:E107)</f>
        <v>250000</v>
      </c>
      <c r="F105" s="46">
        <f>SUM(F106:F107)</f>
        <v>252637.55</v>
      </c>
      <c r="G105" s="46">
        <f>SUM(G106:G107)</f>
        <v>252637.55</v>
      </c>
      <c r="H105" s="46">
        <f>SUM(H106:H107)</f>
        <v>0</v>
      </c>
      <c r="I105" s="47">
        <f>F105/E105*100</f>
        <v>101.05502</v>
      </c>
      <c r="J105" s="48"/>
    </row>
    <row r="106" spans="1:10" s="7" customFormat="1" ht="12.75">
      <c r="A106" s="36"/>
      <c r="B106" s="36"/>
      <c r="C106" s="36" t="s">
        <v>108</v>
      </c>
      <c r="D106" s="36" t="s">
        <v>109</v>
      </c>
      <c r="E106" s="37"/>
      <c r="F106" s="37">
        <v>549.97</v>
      </c>
      <c r="G106" s="50">
        <f>F106</f>
        <v>549.97</v>
      </c>
      <c r="H106" s="51"/>
      <c r="I106" s="52"/>
      <c r="J106" s="2"/>
    </row>
    <row r="107" spans="1:9" ht="12.75">
      <c r="A107" s="36"/>
      <c r="B107" s="36"/>
      <c r="C107" s="36" t="s">
        <v>27</v>
      </c>
      <c r="D107" s="36" t="s">
        <v>28</v>
      </c>
      <c r="E107" s="37">
        <v>250000</v>
      </c>
      <c r="F107" s="37">
        <v>252087.58</v>
      </c>
      <c r="G107" s="50">
        <f>F107</f>
        <v>252087.58</v>
      </c>
      <c r="H107" s="51"/>
      <c r="I107" s="52">
        <f>F107/E107*100</f>
        <v>100.83503199999998</v>
      </c>
    </row>
    <row r="108" spans="1:10" s="49" customFormat="1" ht="12.75">
      <c r="A108" s="45"/>
      <c r="B108" s="45">
        <v>85228</v>
      </c>
      <c r="C108" s="45"/>
      <c r="D108" s="45" t="s">
        <v>122</v>
      </c>
      <c r="E108" s="46">
        <f>SUM(E109)</f>
        <v>18000</v>
      </c>
      <c r="F108" s="46">
        <f>SUM(F109)</f>
        <v>27642.11</v>
      </c>
      <c r="G108" s="46">
        <f>SUM(G109)</f>
        <v>27642.11</v>
      </c>
      <c r="H108" s="46">
        <f>SUM(H109)</f>
        <v>0</v>
      </c>
      <c r="I108" s="47">
        <f>F108/E108*100</f>
        <v>153.56727777777778</v>
      </c>
      <c r="J108" s="48"/>
    </row>
    <row r="109" spans="1:9" ht="12.75">
      <c r="A109" s="36"/>
      <c r="B109" s="36"/>
      <c r="C109" s="36" t="s">
        <v>58</v>
      </c>
      <c r="D109" s="36" t="s">
        <v>59</v>
      </c>
      <c r="E109" s="37">
        <v>18000</v>
      </c>
      <c r="F109" s="37">
        <v>27642.11</v>
      </c>
      <c r="G109" s="50">
        <f>F109</f>
        <v>27642.11</v>
      </c>
      <c r="H109" s="51"/>
      <c r="I109" s="52">
        <f>F109/E109*100</f>
        <v>153.56727777777778</v>
      </c>
    </row>
    <row r="110" spans="1:10" s="44" customFormat="1" ht="12.75">
      <c r="A110" s="40">
        <v>900</v>
      </c>
      <c r="B110" s="40"/>
      <c r="C110" s="40"/>
      <c r="D110" s="40" t="s">
        <v>123</v>
      </c>
      <c r="E110" s="41">
        <f>SUM(E111,E121,E113,E115,E117,E119)</f>
        <v>977000</v>
      </c>
      <c r="F110" s="41">
        <f>SUM(F111,F121,F113,F115,F117,F119)</f>
        <v>639725.3300000001</v>
      </c>
      <c r="G110" s="41">
        <f>SUM(G111,G121,G113,G115,G117,G119)</f>
        <v>639725.3300000001</v>
      </c>
      <c r="H110" s="41">
        <f>SUM(H111,H121,H113,H115,H117,H119)</f>
        <v>0</v>
      </c>
      <c r="I110" s="42">
        <f>F110/E110*100</f>
        <v>65.47853940634596</v>
      </c>
      <c r="J110" s="43"/>
    </row>
    <row r="111" spans="1:10" s="49" customFormat="1" ht="12.75">
      <c r="A111" s="45"/>
      <c r="B111" s="45">
        <v>90001</v>
      </c>
      <c r="C111" s="45"/>
      <c r="D111" s="45" t="s">
        <v>124</v>
      </c>
      <c r="E111" s="46"/>
      <c r="F111" s="46">
        <f>SUM(F112)</f>
        <v>970.26</v>
      </c>
      <c r="G111" s="46">
        <f>SUM(G112)</f>
        <v>970.26</v>
      </c>
      <c r="H111" s="46">
        <f>SUM(H112)</f>
        <v>0</v>
      </c>
      <c r="I111" s="47"/>
      <c r="J111" s="48"/>
    </row>
    <row r="112" spans="1:10" s="7" customFormat="1" ht="12.75">
      <c r="A112" s="36"/>
      <c r="B112" s="36"/>
      <c r="C112" s="36" t="s">
        <v>58</v>
      </c>
      <c r="D112" s="36" t="s">
        <v>59</v>
      </c>
      <c r="E112" s="37"/>
      <c r="F112" s="37">
        <v>970.26</v>
      </c>
      <c r="G112" s="50">
        <f>F112</f>
        <v>970.26</v>
      </c>
      <c r="H112" s="51"/>
      <c r="I112" s="52"/>
      <c r="J112" s="2"/>
    </row>
    <row r="113" spans="1:10" s="49" customFormat="1" ht="12.75">
      <c r="A113" s="45"/>
      <c r="B113" s="45">
        <v>90003</v>
      </c>
      <c r="C113" s="45"/>
      <c r="D113" s="45" t="s">
        <v>125</v>
      </c>
      <c r="E113" s="46">
        <f>SUM(E114:E114)</f>
        <v>192000</v>
      </c>
      <c r="F113" s="46">
        <f>SUM(F114:F114)</f>
        <v>164778.47</v>
      </c>
      <c r="G113" s="46">
        <f>SUM(G114:G114)</f>
        <v>164778.47</v>
      </c>
      <c r="H113" s="46">
        <f>SUM(H114:H114)</f>
        <v>0</v>
      </c>
      <c r="I113" s="47">
        <f>F113/E113*100</f>
        <v>85.82211979166667</v>
      </c>
      <c r="J113" s="48"/>
    </row>
    <row r="114" spans="1:9" ht="12.75">
      <c r="A114" s="36"/>
      <c r="B114" s="36"/>
      <c r="C114" s="36" t="s">
        <v>58</v>
      </c>
      <c r="D114" s="36" t="s">
        <v>59</v>
      </c>
      <c r="E114" s="37">
        <v>192000</v>
      </c>
      <c r="F114" s="67">
        <v>164778.47</v>
      </c>
      <c r="G114" s="50">
        <f>F114</f>
        <v>164778.47</v>
      </c>
      <c r="H114" s="51"/>
      <c r="I114" s="52">
        <f>F114/E114*100</f>
        <v>85.82211979166667</v>
      </c>
    </row>
    <row r="115" spans="1:10" s="49" customFormat="1" ht="12.75">
      <c r="A115" s="45"/>
      <c r="B115" s="45">
        <v>90015</v>
      </c>
      <c r="C115" s="45"/>
      <c r="D115" s="45" t="s">
        <v>126</v>
      </c>
      <c r="E115" s="46">
        <f>SUM(E116)</f>
        <v>145000</v>
      </c>
      <c r="F115" s="46">
        <f>SUM(F116)</f>
        <v>145354.83</v>
      </c>
      <c r="G115" s="46">
        <f>SUM(G116)</f>
        <v>145354.83</v>
      </c>
      <c r="H115" s="46">
        <f>SUM(H116)</f>
        <v>0</v>
      </c>
      <c r="I115" s="47"/>
      <c r="J115" s="48"/>
    </row>
    <row r="116" spans="1:9" ht="12.75">
      <c r="A116" s="36"/>
      <c r="B116" s="36"/>
      <c r="C116" s="36" t="s">
        <v>27</v>
      </c>
      <c r="D116" s="36" t="s">
        <v>28</v>
      </c>
      <c r="E116" s="37">
        <v>145000</v>
      </c>
      <c r="F116" s="67">
        <v>145354.83</v>
      </c>
      <c r="G116" s="50">
        <f>F116</f>
        <v>145354.83</v>
      </c>
      <c r="H116" s="51"/>
      <c r="I116" s="52"/>
    </row>
    <row r="117" spans="1:10" s="49" customFormat="1" ht="12.75">
      <c r="A117" s="45"/>
      <c r="B117" s="45">
        <v>90019</v>
      </c>
      <c r="C117" s="45"/>
      <c r="D117" s="45" t="s">
        <v>127</v>
      </c>
      <c r="E117" s="46">
        <f>SUM(E118)</f>
        <v>629000</v>
      </c>
      <c r="F117" s="46">
        <f>SUM(F118)</f>
        <v>275994.44</v>
      </c>
      <c r="G117" s="46">
        <f>SUM(G118)</f>
        <v>275994.44</v>
      </c>
      <c r="H117" s="46">
        <f>SUM(H118)</f>
        <v>0</v>
      </c>
      <c r="I117" s="47"/>
      <c r="J117" s="48"/>
    </row>
    <row r="118" spans="1:9" ht="12.75">
      <c r="A118" s="36"/>
      <c r="B118" s="36"/>
      <c r="C118" s="36" t="s">
        <v>51</v>
      </c>
      <c r="D118" s="36" t="s">
        <v>52</v>
      </c>
      <c r="E118" s="37">
        <v>629000</v>
      </c>
      <c r="F118" s="67">
        <v>275994.44</v>
      </c>
      <c r="G118" s="50">
        <f>F118</f>
        <v>275994.44</v>
      </c>
      <c r="H118" s="51"/>
      <c r="I118" s="52"/>
    </row>
    <row r="119" spans="1:10" s="49" customFormat="1" ht="12.75">
      <c r="A119" s="45"/>
      <c r="B119" s="45">
        <v>90020</v>
      </c>
      <c r="C119" s="45"/>
      <c r="D119" s="45" t="s">
        <v>128</v>
      </c>
      <c r="E119" s="59">
        <f>SUM(E120)</f>
        <v>1000</v>
      </c>
      <c r="F119" s="46">
        <f>SUM(F120)</f>
        <v>0</v>
      </c>
      <c r="G119" s="46">
        <f>SUM(G120)</f>
        <v>0</v>
      </c>
      <c r="H119" s="46">
        <f>SUM(H120)</f>
        <v>0</v>
      </c>
      <c r="I119" s="47">
        <f>F119/E119*100</f>
        <v>0</v>
      </c>
      <c r="J119" s="48"/>
    </row>
    <row r="120" spans="1:9" ht="12.75">
      <c r="A120" s="36"/>
      <c r="B120" s="36"/>
      <c r="C120" s="36" t="s">
        <v>129</v>
      </c>
      <c r="D120" s="36" t="s">
        <v>130</v>
      </c>
      <c r="E120" s="37">
        <v>1000</v>
      </c>
      <c r="F120" s="37">
        <v>0</v>
      </c>
      <c r="G120" s="38"/>
      <c r="H120" s="51"/>
      <c r="I120" s="52">
        <f>F120/E120*100</f>
        <v>0</v>
      </c>
    </row>
    <row r="121" spans="1:10" s="49" customFormat="1" ht="12.75">
      <c r="A121" s="45"/>
      <c r="B121" s="45">
        <v>90095</v>
      </c>
      <c r="C121" s="45"/>
      <c r="D121" s="45" t="s">
        <v>68</v>
      </c>
      <c r="E121" s="46">
        <f>SUM(E122:E123)</f>
        <v>10000</v>
      </c>
      <c r="F121" s="46">
        <f>SUM(F122:F123)</f>
        <v>52627.33</v>
      </c>
      <c r="G121" s="46">
        <f>SUM(G122:G123)</f>
        <v>52627.33</v>
      </c>
      <c r="H121" s="46">
        <f>SUM(H122:H123)</f>
        <v>0</v>
      </c>
      <c r="I121" s="47">
        <f>F121/E121*100</f>
        <v>526.2733</v>
      </c>
      <c r="J121" s="48"/>
    </row>
    <row r="122" spans="1:9" ht="12.75">
      <c r="A122" s="36"/>
      <c r="B122" s="36"/>
      <c r="C122" s="36" t="s">
        <v>58</v>
      </c>
      <c r="D122" s="36" t="s">
        <v>59</v>
      </c>
      <c r="E122" s="37">
        <v>10000</v>
      </c>
      <c r="F122" s="67">
        <v>50598.97</v>
      </c>
      <c r="G122" s="50">
        <f>F122</f>
        <v>50598.97</v>
      </c>
      <c r="H122" s="51"/>
      <c r="I122" s="52">
        <f>F122/E122*100</f>
        <v>505.9897</v>
      </c>
    </row>
    <row r="123" spans="1:9" ht="12.75">
      <c r="A123" s="36"/>
      <c r="B123" s="36"/>
      <c r="C123" s="36" t="s">
        <v>27</v>
      </c>
      <c r="D123" s="36" t="s">
        <v>131</v>
      </c>
      <c r="E123" s="37"/>
      <c r="F123" s="67">
        <v>2028.36</v>
      </c>
      <c r="G123" s="50">
        <f>F123</f>
        <v>2028.36</v>
      </c>
      <c r="H123" s="51"/>
      <c r="I123" s="52"/>
    </row>
    <row r="124" spans="1:10" s="44" customFormat="1" ht="12.75">
      <c r="A124" s="40">
        <v>921</v>
      </c>
      <c r="B124" s="40"/>
      <c r="C124" s="40"/>
      <c r="D124" s="40" t="s">
        <v>132</v>
      </c>
      <c r="E124" s="41">
        <f aca="true" t="shared" si="9" ref="E124:H125">SUM(E125)</f>
        <v>140000</v>
      </c>
      <c r="F124" s="41">
        <f t="shared" si="9"/>
        <v>147548.01</v>
      </c>
      <c r="G124" s="41">
        <f t="shared" si="9"/>
        <v>147548.01</v>
      </c>
      <c r="H124" s="41">
        <f t="shared" si="9"/>
        <v>0</v>
      </c>
      <c r="I124" s="42">
        <f aca="true" t="shared" si="10" ref="I124:I154">F124/E124*100</f>
        <v>105.39143571428573</v>
      </c>
      <c r="J124" s="43"/>
    </row>
    <row r="125" spans="1:10" s="49" customFormat="1" ht="12.75">
      <c r="A125" s="45"/>
      <c r="B125" s="45">
        <v>92195</v>
      </c>
      <c r="C125" s="45"/>
      <c r="D125" s="45" t="s">
        <v>133</v>
      </c>
      <c r="E125" s="46">
        <f t="shared" si="9"/>
        <v>140000</v>
      </c>
      <c r="F125" s="46">
        <f t="shared" si="9"/>
        <v>147548.01</v>
      </c>
      <c r="G125" s="46">
        <f t="shared" si="9"/>
        <v>147548.01</v>
      </c>
      <c r="H125" s="46">
        <f t="shared" si="9"/>
        <v>0</v>
      </c>
      <c r="I125" s="47">
        <f t="shared" si="10"/>
        <v>105.39143571428573</v>
      </c>
      <c r="J125" s="48"/>
    </row>
    <row r="126" spans="1:9" ht="12.75">
      <c r="A126" s="36"/>
      <c r="B126" s="36"/>
      <c r="C126" s="36" t="s">
        <v>58</v>
      </c>
      <c r="D126" s="36" t="s">
        <v>59</v>
      </c>
      <c r="E126" s="37">
        <v>140000</v>
      </c>
      <c r="F126" s="37">
        <v>147548.01</v>
      </c>
      <c r="G126" s="50">
        <f>F126</f>
        <v>147548.01</v>
      </c>
      <c r="H126" s="51"/>
      <c r="I126" s="52">
        <f t="shared" si="10"/>
        <v>105.39143571428573</v>
      </c>
    </row>
    <row r="127" spans="1:10" s="44" customFormat="1" ht="12.75">
      <c r="A127" s="40">
        <v>926</v>
      </c>
      <c r="B127" s="40"/>
      <c r="C127" s="40"/>
      <c r="D127" s="40" t="s">
        <v>134</v>
      </c>
      <c r="E127" s="41">
        <f>SUM(E128,E131)</f>
        <v>792000</v>
      </c>
      <c r="F127" s="41">
        <f>SUM(F128,F131)</f>
        <v>739997.76</v>
      </c>
      <c r="G127" s="41">
        <f>SUM(G128,G131)</f>
        <v>739997.76</v>
      </c>
      <c r="H127" s="41">
        <f>SUM(H128,H131)</f>
        <v>0</v>
      </c>
      <c r="I127" s="52">
        <f t="shared" si="10"/>
        <v>93.43406060606061</v>
      </c>
      <c r="J127" s="43"/>
    </row>
    <row r="128" spans="1:10" s="49" customFormat="1" ht="12.75">
      <c r="A128" s="45"/>
      <c r="B128" s="45">
        <v>92601</v>
      </c>
      <c r="C128" s="45"/>
      <c r="D128" s="45" t="s">
        <v>135</v>
      </c>
      <c r="E128" s="46">
        <f>SUM(E129:E130)</f>
        <v>700000</v>
      </c>
      <c r="F128" s="46">
        <f>SUM(F129:F130)</f>
        <v>672080.49</v>
      </c>
      <c r="G128" s="46">
        <f>SUM(G129:G130)</f>
        <v>672080.49</v>
      </c>
      <c r="H128" s="46">
        <f>SUM(H129:H130)</f>
        <v>0</v>
      </c>
      <c r="I128" s="52">
        <f t="shared" si="10"/>
        <v>96.01149857142856</v>
      </c>
      <c r="J128" s="48"/>
    </row>
    <row r="129" spans="1:10" s="7" customFormat="1" ht="12.75">
      <c r="A129" s="36"/>
      <c r="B129" s="36"/>
      <c r="C129" s="36" t="s">
        <v>66</v>
      </c>
      <c r="D129" s="36" t="s">
        <v>136</v>
      </c>
      <c r="E129" s="37"/>
      <c r="F129" s="37">
        <f>E129</f>
        <v>0</v>
      </c>
      <c r="G129" s="50">
        <f>F129</f>
        <v>0</v>
      </c>
      <c r="H129" s="51"/>
      <c r="I129" s="52" t="e">
        <f t="shared" si="10"/>
        <v>#DIV/0!</v>
      </c>
      <c r="J129" s="2"/>
    </row>
    <row r="130" spans="1:9" ht="12.75">
      <c r="A130" s="36"/>
      <c r="B130" s="36"/>
      <c r="C130" s="36" t="s">
        <v>58</v>
      </c>
      <c r="D130" s="36" t="s">
        <v>59</v>
      </c>
      <c r="E130" s="37">
        <v>700000</v>
      </c>
      <c r="F130" s="37">
        <v>672080.49</v>
      </c>
      <c r="G130" s="50">
        <f>F130</f>
        <v>672080.49</v>
      </c>
      <c r="H130" s="51"/>
      <c r="I130" s="52">
        <f t="shared" si="10"/>
        <v>96.01149857142856</v>
      </c>
    </row>
    <row r="131" spans="1:10" s="49" customFormat="1" ht="12.75">
      <c r="A131" s="45"/>
      <c r="B131" s="45">
        <v>92604</v>
      </c>
      <c r="C131" s="45"/>
      <c r="D131" s="45" t="s">
        <v>137</v>
      </c>
      <c r="E131" s="46">
        <f>SUM(E132:E133)</f>
        <v>92000</v>
      </c>
      <c r="F131" s="46">
        <f>SUM(F132:F133)</f>
        <v>67917.27</v>
      </c>
      <c r="G131" s="46">
        <f>SUM(G132:G133)</f>
        <v>67917.27</v>
      </c>
      <c r="H131" s="46">
        <f>SUM(H132:H133)</f>
        <v>0</v>
      </c>
      <c r="I131" s="52">
        <f t="shared" si="10"/>
        <v>73.8231195652174</v>
      </c>
      <c r="J131" s="48"/>
    </row>
    <row r="132" spans="1:10" s="49" customFormat="1" ht="12.75">
      <c r="A132" s="45"/>
      <c r="B132" s="45"/>
      <c r="C132" s="36" t="s">
        <v>58</v>
      </c>
      <c r="D132" s="36" t="s">
        <v>59</v>
      </c>
      <c r="E132" s="37">
        <v>92000</v>
      </c>
      <c r="F132" s="37">
        <v>63662.88</v>
      </c>
      <c r="G132" s="50">
        <f>F132</f>
        <v>63662.88</v>
      </c>
      <c r="H132" s="68"/>
      <c r="I132" s="52">
        <f t="shared" si="10"/>
        <v>69.19878260869565</v>
      </c>
      <c r="J132" s="48"/>
    </row>
    <row r="133" spans="1:9" ht="12.75">
      <c r="A133" s="36"/>
      <c r="B133" s="36"/>
      <c r="C133" s="36" t="s">
        <v>108</v>
      </c>
      <c r="D133" s="36" t="s">
        <v>138</v>
      </c>
      <c r="E133" s="37"/>
      <c r="F133" s="37">
        <v>4254.39</v>
      </c>
      <c r="G133" s="50">
        <f>F133</f>
        <v>4254.39</v>
      </c>
      <c r="H133" s="51"/>
      <c r="I133" s="52" t="e">
        <f t="shared" si="10"/>
        <v>#DIV/0!</v>
      </c>
    </row>
    <row r="134" spans="1:10" ht="12.75">
      <c r="A134" s="69"/>
      <c r="B134" s="70"/>
      <c r="C134" s="71"/>
      <c r="D134" s="72" t="s">
        <v>139</v>
      </c>
      <c r="E134" s="73">
        <f>SUM(E136,E139,E144,E148,E151,E156,E159,E165,E176,E179,E185,E188)</f>
        <v>21668051</v>
      </c>
      <c r="F134" s="73">
        <f>SUM(F136,F139,F144,F148,F151,F156,F159,F165,F176,F179,F185,F188)</f>
        <v>16630409.07</v>
      </c>
      <c r="G134" s="73">
        <f>SUM(G136,G139,G144,G148,G151,G156,G159,G165,G176,G179,G185,G188)</f>
        <v>2083524.79</v>
      </c>
      <c r="H134" s="73">
        <f>SUM(H136,H139,H144,H148,H151,H156,H159,H165,H176,H179,H185,H188)</f>
        <v>14546884.28</v>
      </c>
      <c r="I134" s="74">
        <f t="shared" si="10"/>
        <v>76.75083038156039</v>
      </c>
      <c r="J134" s="35"/>
    </row>
    <row r="135" spans="1:9" ht="12.75">
      <c r="A135" s="75"/>
      <c r="B135" s="75"/>
      <c r="C135" s="75"/>
      <c r="D135" s="75" t="s">
        <v>22</v>
      </c>
      <c r="E135" s="76"/>
      <c r="F135" s="76"/>
      <c r="G135" s="38"/>
      <c r="H135" s="38"/>
      <c r="I135" s="57" t="e">
        <f t="shared" si="10"/>
        <v>#DIV/0!</v>
      </c>
    </row>
    <row r="136" spans="1:10" s="44" customFormat="1" ht="12.75">
      <c r="A136" s="40" t="s">
        <v>23</v>
      </c>
      <c r="B136" s="40"/>
      <c r="C136" s="40"/>
      <c r="D136" s="40" t="s">
        <v>24</v>
      </c>
      <c r="E136" s="41">
        <f>SUM(E137)</f>
        <v>2677478</v>
      </c>
      <c r="F136" s="41">
        <f>SUM(F137)</f>
        <v>2041805.27</v>
      </c>
      <c r="G136" s="41">
        <f>SUM(G137)</f>
        <v>0</v>
      </c>
      <c r="H136" s="41">
        <f>SUM(H137)</f>
        <v>2041805.27</v>
      </c>
      <c r="I136" s="42">
        <f t="shared" si="10"/>
        <v>76.25852649396185</v>
      </c>
      <c r="J136" s="43"/>
    </row>
    <row r="137" spans="1:10" s="49" customFormat="1" ht="12.75">
      <c r="A137" s="45"/>
      <c r="B137" s="45" t="s">
        <v>25</v>
      </c>
      <c r="C137" s="45"/>
      <c r="D137" s="45" t="s">
        <v>26</v>
      </c>
      <c r="E137" s="46">
        <f>SUM(E138:E138)</f>
        <v>2677478</v>
      </c>
      <c r="F137" s="46">
        <f>SUM(F138:F138)</f>
        <v>2041805.27</v>
      </c>
      <c r="G137" s="46">
        <f>SUM(G138:G138)</f>
        <v>0</v>
      </c>
      <c r="H137" s="46">
        <f>SUM(H138:H138)</f>
        <v>2041805.27</v>
      </c>
      <c r="I137" s="47">
        <f t="shared" si="10"/>
        <v>76.25852649396185</v>
      </c>
      <c r="J137" s="48"/>
    </row>
    <row r="138" spans="1:10" s="7" customFormat="1" ht="12.75">
      <c r="A138" s="36"/>
      <c r="B138" s="36"/>
      <c r="C138" s="36">
        <v>6298</v>
      </c>
      <c r="D138" s="36" t="s">
        <v>140</v>
      </c>
      <c r="E138" s="37">
        <f>2724606+641399-688527</f>
        <v>2677478</v>
      </c>
      <c r="F138" s="37">
        <v>2041805.27</v>
      </c>
      <c r="G138" s="38"/>
      <c r="H138" s="37">
        <f>F138</f>
        <v>2041805.27</v>
      </c>
      <c r="I138" s="52">
        <f t="shared" si="10"/>
        <v>76.25852649396185</v>
      </c>
      <c r="J138" s="2"/>
    </row>
    <row r="139" spans="1:10" s="44" customFormat="1" ht="12.75">
      <c r="A139" s="40">
        <v>600</v>
      </c>
      <c r="B139" s="40"/>
      <c r="C139" s="40"/>
      <c r="D139" s="40" t="s">
        <v>141</v>
      </c>
      <c r="E139" s="41">
        <f>SUM(E140)</f>
        <v>987600</v>
      </c>
      <c r="F139" s="41">
        <f>SUM(F140)</f>
        <v>944599</v>
      </c>
      <c r="G139" s="41">
        <f>SUM(G140)</f>
        <v>0</v>
      </c>
      <c r="H139" s="41">
        <f>SUM(H140)</f>
        <v>944599</v>
      </c>
      <c r="I139" s="42">
        <f t="shared" si="10"/>
        <v>95.64590927501013</v>
      </c>
      <c r="J139" s="43"/>
    </row>
    <row r="140" spans="1:10" s="49" customFormat="1" ht="12.75">
      <c r="A140" s="45"/>
      <c r="B140" s="45">
        <v>60016</v>
      </c>
      <c r="C140" s="45"/>
      <c r="D140" s="45" t="s">
        <v>142</v>
      </c>
      <c r="E140" s="59">
        <f>SUM(E141:E143)</f>
        <v>987600</v>
      </c>
      <c r="F140" s="46">
        <f>SUM(F141:F143)</f>
        <v>944599</v>
      </c>
      <c r="G140" s="46">
        <f>SUM(G141:G143)</f>
        <v>0</v>
      </c>
      <c r="H140" s="46">
        <f>SUM(H141:H143)</f>
        <v>944599</v>
      </c>
      <c r="I140" s="47">
        <f t="shared" si="10"/>
        <v>95.64590927501013</v>
      </c>
      <c r="J140" s="48"/>
    </row>
    <row r="141" spans="1:10" s="7" customFormat="1" ht="30.75" customHeight="1">
      <c r="A141" s="36"/>
      <c r="B141" s="36"/>
      <c r="C141" s="36">
        <v>6280</v>
      </c>
      <c r="D141" s="77" t="s">
        <v>143</v>
      </c>
      <c r="E141" s="37">
        <v>170000</v>
      </c>
      <c r="F141" s="37">
        <v>127000</v>
      </c>
      <c r="G141" s="38"/>
      <c r="H141" s="37">
        <f>F141</f>
        <v>127000</v>
      </c>
      <c r="I141" s="52">
        <f t="shared" si="10"/>
        <v>74.70588235294117</v>
      </c>
      <c r="J141" s="2"/>
    </row>
    <row r="142" spans="1:10" s="7" customFormat="1" ht="12.75">
      <c r="A142" s="36"/>
      <c r="B142" s="36"/>
      <c r="C142" s="36">
        <v>6300</v>
      </c>
      <c r="D142" s="36" t="s">
        <v>144</v>
      </c>
      <c r="E142" s="37">
        <v>10000</v>
      </c>
      <c r="F142" s="37">
        <v>10000</v>
      </c>
      <c r="G142" s="38"/>
      <c r="H142" s="37">
        <f>F142</f>
        <v>10000</v>
      </c>
      <c r="I142" s="52">
        <f t="shared" si="10"/>
        <v>100</v>
      </c>
      <c r="J142" s="2"/>
    </row>
    <row r="143" spans="1:9" ht="12.75">
      <c r="A143" s="36"/>
      <c r="B143" s="36"/>
      <c r="C143" s="36">
        <v>6330</v>
      </c>
      <c r="D143" s="55" t="s">
        <v>145</v>
      </c>
      <c r="E143" s="37">
        <f>1074000-266400</f>
        <v>807600</v>
      </c>
      <c r="F143" s="37">
        <v>807599</v>
      </c>
      <c r="G143" s="38"/>
      <c r="H143" s="78">
        <f>F143</f>
        <v>807599</v>
      </c>
      <c r="I143" s="52">
        <f t="shared" si="10"/>
        <v>99.9998761763249</v>
      </c>
    </row>
    <row r="144" spans="1:10" s="44" customFormat="1" ht="12.75">
      <c r="A144" s="40">
        <v>700</v>
      </c>
      <c r="B144" s="40"/>
      <c r="C144" s="40"/>
      <c r="D144" s="40" t="s">
        <v>35</v>
      </c>
      <c r="E144" s="41">
        <f>SUM(E145)</f>
        <v>11823602</v>
      </c>
      <c r="F144" s="41">
        <f>SUM(F145)</f>
        <v>8393047.99</v>
      </c>
      <c r="G144" s="41">
        <f>SUM(G145)</f>
        <v>0</v>
      </c>
      <c r="H144" s="41">
        <f>SUM(H145)</f>
        <v>8393047.99</v>
      </c>
      <c r="I144" s="42">
        <f t="shared" si="10"/>
        <v>70.98554222308904</v>
      </c>
      <c r="J144" s="43"/>
    </row>
    <row r="145" spans="1:10" s="49" customFormat="1" ht="12.75">
      <c r="A145" s="45"/>
      <c r="B145" s="45">
        <v>70005</v>
      </c>
      <c r="C145" s="45"/>
      <c r="D145" s="45" t="s">
        <v>146</v>
      </c>
      <c r="E145" s="46">
        <f>SUM(E146:E147)</f>
        <v>11823602</v>
      </c>
      <c r="F145" s="46">
        <f>SUM(F146:F147)</f>
        <v>8393047.99</v>
      </c>
      <c r="G145" s="46">
        <f>SUM(G146:G147)</f>
        <v>0</v>
      </c>
      <c r="H145" s="46">
        <f>SUM(H146:H147)</f>
        <v>8393047.99</v>
      </c>
      <c r="I145" s="47">
        <f t="shared" si="10"/>
        <v>70.98554222308904</v>
      </c>
      <c r="J145" s="48"/>
    </row>
    <row r="146" spans="1:10" s="7" customFormat="1" ht="12.75">
      <c r="A146" s="36"/>
      <c r="B146" s="36"/>
      <c r="C146" s="36">
        <v>6298</v>
      </c>
      <c r="D146" s="36" t="s">
        <v>140</v>
      </c>
      <c r="E146" s="37">
        <f>11901631-78029</f>
        <v>11823602</v>
      </c>
      <c r="F146" s="37">
        <v>8393047.99</v>
      </c>
      <c r="G146" s="50"/>
      <c r="H146" s="37">
        <f>F146</f>
        <v>8393047.99</v>
      </c>
      <c r="I146" s="52">
        <f t="shared" si="10"/>
        <v>70.98554222308904</v>
      </c>
      <c r="J146" s="2"/>
    </row>
    <row r="147" spans="1:9" ht="12.75">
      <c r="A147" s="36"/>
      <c r="B147" s="36"/>
      <c r="C147" s="36">
        <v>6330</v>
      </c>
      <c r="D147" s="55" t="s">
        <v>145</v>
      </c>
      <c r="E147" s="37"/>
      <c r="F147" s="37">
        <f>E147</f>
        <v>0</v>
      </c>
      <c r="G147" s="38"/>
      <c r="H147" s="78">
        <f>F147</f>
        <v>0</v>
      </c>
      <c r="I147" s="52" t="e">
        <f t="shared" si="10"/>
        <v>#DIV/0!</v>
      </c>
    </row>
    <row r="148" spans="1:10" s="44" customFormat="1" ht="12.75">
      <c r="A148" s="40">
        <v>710</v>
      </c>
      <c r="B148" s="40"/>
      <c r="C148" s="40"/>
      <c r="D148" s="40" t="s">
        <v>47</v>
      </c>
      <c r="E148" s="41">
        <f aca="true" t="shared" si="11" ref="E148:H149">SUM(E149)</f>
        <v>2650</v>
      </c>
      <c r="F148" s="41">
        <f t="shared" si="11"/>
        <v>2650</v>
      </c>
      <c r="G148" s="41">
        <f t="shared" si="11"/>
        <v>2650</v>
      </c>
      <c r="H148" s="41">
        <f t="shared" si="11"/>
        <v>0</v>
      </c>
      <c r="I148" s="42">
        <f t="shared" si="10"/>
        <v>100</v>
      </c>
      <c r="J148" s="43"/>
    </row>
    <row r="149" spans="1:10" s="49" customFormat="1" ht="12.75">
      <c r="A149" s="45"/>
      <c r="B149" s="45">
        <v>71035</v>
      </c>
      <c r="C149" s="45"/>
      <c r="D149" s="45" t="s">
        <v>48</v>
      </c>
      <c r="E149" s="46">
        <f t="shared" si="11"/>
        <v>2650</v>
      </c>
      <c r="F149" s="46">
        <f t="shared" si="11"/>
        <v>2650</v>
      </c>
      <c r="G149" s="46">
        <f t="shared" si="11"/>
        <v>2650</v>
      </c>
      <c r="H149" s="46">
        <f t="shared" si="11"/>
        <v>0</v>
      </c>
      <c r="I149" s="47">
        <f t="shared" si="10"/>
        <v>100</v>
      </c>
      <c r="J149" s="48"/>
    </row>
    <row r="150" spans="1:9" ht="12.75">
      <c r="A150" s="36"/>
      <c r="B150" s="36"/>
      <c r="C150" s="36">
        <v>2020</v>
      </c>
      <c r="D150" s="36" t="s">
        <v>147</v>
      </c>
      <c r="E150" s="37">
        <v>2650</v>
      </c>
      <c r="F150" s="37">
        <f>E150</f>
        <v>2650</v>
      </c>
      <c r="G150" s="50">
        <f>F150</f>
        <v>2650</v>
      </c>
      <c r="H150" s="51"/>
      <c r="I150" s="52">
        <f t="shared" si="10"/>
        <v>100</v>
      </c>
    </row>
    <row r="151" spans="1:10" s="44" customFormat="1" ht="12.75">
      <c r="A151" s="40">
        <v>754</v>
      </c>
      <c r="B151" s="40"/>
      <c r="C151" s="40"/>
      <c r="D151" s="40" t="s">
        <v>63</v>
      </c>
      <c r="E151" s="41">
        <f>SUM(E152,E154)</f>
        <v>160000</v>
      </c>
      <c r="F151" s="41">
        <f>SUM(F152,F154)</f>
        <v>160000</v>
      </c>
      <c r="G151" s="41">
        <f>SUM(G152,G154)</f>
        <v>0</v>
      </c>
      <c r="H151" s="41">
        <f>SUM(H152,H154)</f>
        <v>160000</v>
      </c>
      <c r="I151" s="42">
        <f t="shared" si="10"/>
        <v>100</v>
      </c>
      <c r="J151" s="43"/>
    </row>
    <row r="152" spans="1:10" s="49" customFormat="1" ht="12.75">
      <c r="A152" s="45"/>
      <c r="B152" s="45">
        <v>75412</v>
      </c>
      <c r="C152" s="45"/>
      <c r="D152" s="45" t="s">
        <v>148</v>
      </c>
      <c r="E152" s="46">
        <f>SUM(E153:E153)</f>
        <v>160000</v>
      </c>
      <c r="F152" s="46">
        <f>SUM(F153:F153)</f>
        <v>160000</v>
      </c>
      <c r="G152" s="46">
        <f>SUM(G153:G153)</f>
        <v>0</v>
      </c>
      <c r="H152" s="46">
        <f>SUM(H153:H153)</f>
        <v>160000</v>
      </c>
      <c r="I152" s="47">
        <f t="shared" si="10"/>
        <v>100</v>
      </c>
      <c r="J152" s="48"/>
    </row>
    <row r="153" spans="1:9" ht="12.75">
      <c r="A153" s="36"/>
      <c r="B153" s="36"/>
      <c r="C153" s="36">
        <v>6298</v>
      </c>
      <c r="D153" s="36" t="s">
        <v>140</v>
      </c>
      <c r="E153" s="37">
        <v>160000</v>
      </c>
      <c r="F153" s="37">
        <v>160000</v>
      </c>
      <c r="G153" s="38"/>
      <c r="H153" s="37">
        <f>F153</f>
        <v>160000</v>
      </c>
      <c r="I153" s="52">
        <f t="shared" si="10"/>
        <v>100</v>
      </c>
    </row>
    <row r="154" spans="1:10" s="49" customFormat="1" ht="12.75">
      <c r="A154" s="45"/>
      <c r="B154" s="45">
        <v>75414</v>
      </c>
      <c r="C154" s="45"/>
      <c r="D154" s="45" t="s">
        <v>149</v>
      </c>
      <c r="E154" s="46">
        <f>SUM(E155)</f>
        <v>0</v>
      </c>
      <c r="F154" s="46">
        <f>SUM(F155)</f>
        <v>0</v>
      </c>
      <c r="G154" s="46">
        <f>SUM(G155)</f>
        <v>0</v>
      </c>
      <c r="H154" s="46">
        <f>SUM(H155)</f>
        <v>0</v>
      </c>
      <c r="I154" s="47" t="e">
        <f t="shared" si="10"/>
        <v>#DIV/0!</v>
      </c>
      <c r="J154" s="48"/>
    </row>
    <row r="155" spans="1:10" s="44" customFormat="1" ht="12.75">
      <c r="A155" s="36"/>
      <c r="B155" s="36"/>
      <c r="C155" s="36">
        <v>2030</v>
      </c>
      <c r="D155" s="36" t="s">
        <v>150</v>
      </c>
      <c r="E155" s="37"/>
      <c r="F155" s="37">
        <f>E155</f>
        <v>0</v>
      </c>
      <c r="G155" s="50">
        <f>F155</f>
        <v>0</v>
      </c>
      <c r="H155" s="79"/>
      <c r="I155" s="52" t="e">
        <f aca="true" t="shared" si="12" ref="I155:I179">F155/E155*100</f>
        <v>#DIV/0!</v>
      </c>
      <c r="J155" s="43"/>
    </row>
    <row r="156" spans="1:10" s="49" customFormat="1" ht="12.75">
      <c r="A156" s="40">
        <v>758</v>
      </c>
      <c r="B156" s="40"/>
      <c r="C156" s="40"/>
      <c r="D156" s="40" t="s">
        <v>106</v>
      </c>
      <c r="E156" s="41">
        <f>SUM(E157)</f>
        <v>534000</v>
      </c>
      <c r="F156" s="41">
        <f>SUM(F157)</f>
        <v>534000</v>
      </c>
      <c r="G156" s="41">
        <f>SUM(G157)</f>
        <v>0</v>
      </c>
      <c r="H156" s="41">
        <f>SUM(H157)</f>
        <v>534000</v>
      </c>
      <c r="I156" s="42">
        <f t="shared" si="12"/>
        <v>100</v>
      </c>
      <c r="J156" s="48"/>
    </row>
    <row r="157" spans="1:10" s="7" customFormat="1" ht="12.75">
      <c r="A157" s="45"/>
      <c r="B157" s="45">
        <v>75814</v>
      </c>
      <c r="C157" s="45"/>
      <c r="D157" s="45" t="s">
        <v>151</v>
      </c>
      <c r="E157" s="59">
        <f>SUM(E158:E158)</f>
        <v>534000</v>
      </c>
      <c r="F157" s="46">
        <f>SUM(F158:F158)</f>
        <v>534000</v>
      </c>
      <c r="G157" s="46">
        <f>SUM(G158:G158)</f>
        <v>0</v>
      </c>
      <c r="H157" s="46">
        <f>SUM(H158:H158)</f>
        <v>534000</v>
      </c>
      <c r="I157" s="47">
        <f t="shared" si="12"/>
        <v>100</v>
      </c>
      <c r="J157" s="2"/>
    </row>
    <row r="158" spans="1:10" s="44" customFormat="1" ht="12.75">
      <c r="A158" s="36"/>
      <c r="B158" s="36"/>
      <c r="C158" s="36">
        <v>6330</v>
      </c>
      <c r="D158" s="80" t="s">
        <v>152</v>
      </c>
      <c r="E158" s="37">
        <v>534000</v>
      </c>
      <c r="F158" s="37">
        <v>534000</v>
      </c>
      <c r="G158" s="81"/>
      <c r="H158" s="78">
        <f>F158</f>
        <v>534000</v>
      </c>
      <c r="I158" s="52">
        <f t="shared" si="12"/>
        <v>100</v>
      </c>
      <c r="J158" s="43"/>
    </row>
    <row r="159" spans="1:10" s="49" customFormat="1" ht="12.75">
      <c r="A159" s="40">
        <v>801</v>
      </c>
      <c r="B159" s="40"/>
      <c r="C159" s="40"/>
      <c r="D159" s="40" t="s">
        <v>110</v>
      </c>
      <c r="E159" s="41">
        <f>SUM(E160,E163)</f>
        <v>878075</v>
      </c>
      <c r="F159" s="41">
        <f>SUM(F160,F163)</f>
        <v>678075</v>
      </c>
      <c r="G159" s="41">
        <f>SUM(G160,G163)</f>
        <v>12475</v>
      </c>
      <c r="H159" s="41">
        <f>SUM(H160,H163)</f>
        <v>665600</v>
      </c>
      <c r="I159" s="42">
        <f t="shared" si="12"/>
        <v>77.2229023716653</v>
      </c>
      <c r="J159" s="48"/>
    </row>
    <row r="160" spans="1:9" ht="12.75">
      <c r="A160" s="45"/>
      <c r="B160" s="45">
        <v>80101</v>
      </c>
      <c r="C160" s="45"/>
      <c r="D160" s="45" t="s">
        <v>153</v>
      </c>
      <c r="E160" s="46">
        <f>SUM(E161:E162)</f>
        <v>877600</v>
      </c>
      <c r="F160" s="46">
        <f>SUM(F161:F162)</f>
        <v>677600</v>
      </c>
      <c r="G160" s="46">
        <f>SUM(G161:G162)</f>
        <v>12000</v>
      </c>
      <c r="H160" s="46">
        <f>SUM(H161:H162)</f>
        <v>665600</v>
      </c>
      <c r="I160" s="47">
        <f t="shared" si="12"/>
        <v>77.2105742935278</v>
      </c>
    </row>
    <row r="161" spans="1:9" ht="12.75">
      <c r="A161" s="36"/>
      <c r="B161" s="36"/>
      <c r="C161" s="36">
        <v>2030</v>
      </c>
      <c r="D161" s="36" t="s">
        <v>150</v>
      </c>
      <c r="E161" s="37">
        <v>12000</v>
      </c>
      <c r="F161" s="37">
        <v>12000</v>
      </c>
      <c r="G161" s="50">
        <f>F161</f>
        <v>12000</v>
      </c>
      <c r="H161" s="51"/>
      <c r="I161" s="52">
        <f t="shared" si="12"/>
        <v>100</v>
      </c>
    </row>
    <row r="162" spans="1:10" s="49" customFormat="1" ht="12.75">
      <c r="A162" s="36"/>
      <c r="B162" s="36"/>
      <c r="C162" s="36">
        <v>6330</v>
      </c>
      <c r="D162" s="80" t="s">
        <v>152</v>
      </c>
      <c r="E162" s="37">
        <f>665600+200000</f>
        <v>865600</v>
      </c>
      <c r="F162" s="37">
        <v>665600</v>
      </c>
      <c r="G162" s="82"/>
      <c r="H162" s="78">
        <f>F162</f>
        <v>665600</v>
      </c>
      <c r="I162" s="52">
        <f t="shared" si="12"/>
        <v>76.89463955637707</v>
      </c>
      <c r="J162" s="48"/>
    </row>
    <row r="163" spans="1:9" ht="12.75">
      <c r="A163" s="45"/>
      <c r="B163" s="45">
        <v>80195</v>
      </c>
      <c r="C163" s="45"/>
      <c r="D163" s="45" t="s">
        <v>68</v>
      </c>
      <c r="E163" s="46">
        <f>SUM(E164)</f>
        <v>475</v>
      </c>
      <c r="F163" s="46">
        <f>SUM(F164)</f>
        <v>475</v>
      </c>
      <c r="G163" s="46">
        <f>SUM(G164)</f>
        <v>475</v>
      </c>
      <c r="H163" s="51"/>
      <c r="I163" s="47">
        <f t="shared" si="12"/>
        <v>100</v>
      </c>
    </row>
    <row r="164" spans="1:10" s="44" customFormat="1" ht="12.75">
      <c r="A164" s="36"/>
      <c r="B164" s="36"/>
      <c r="C164" s="36">
        <v>2030</v>
      </c>
      <c r="D164" s="36" t="s">
        <v>150</v>
      </c>
      <c r="E164" s="37">
        <v>475</v>
      </c>
      <c r="F164" s="37">
        <v>475</v>
      </c>
      <c r="G164" s="50">
        <f>F164</f>
        <v>475</v>
      </c>
      <c r="H164" s="79"/>
      <c r="I164" s="52">
        <f t="shared" si="12"/>
        <v>100</v>
      </c>
      <c r="J164" s="43"/>
    </row>
    <row r="165" spans="1:10" s="49" customFormat="1" ht="12.75">
      <c r="A165" s="40">
        <v>852</v>
      </c>
      <c r="B165" s="40"/>
      <c r="C165" s="40"/>
      <c r="D165" s="40" t="s">
        <v>154</v>
      </c>
      <c r="E165" s="41">
        <f>SUM(E172,E174,E168,E170,E166)</f>
        <v>1690478</v>
      </c>
      <c r="F165" s="41">
        <f>SUM(F172,F174,F168,F170,F166)</f>
        <v>1684232.09</v>
      </c>
      <c r="G165" s="41">
        <f>SUM(G172,G174,G168,G170,G166)</f>
        <v>1684232.09</v>
      </c>
      <c r="H165" s="41">
        <f>SUM(H172,H174,H168,H170,H166)</f>
        <v>0</v>
      </c>
      <c r="I165" s="42">
        <f t="shared" si="12"/>
        <v>99.63052402929823</v>
      </c>
      <c r="J165" s="48"/>
    </row>
    <row r="166" spans="1:10" s="49" customFormat="1" ht="12.75">
      <c r="A166" s="40"/>
      <c r="B166" s="40">
        <v>85213</v>
      </c>
      <c r="C166" s="40"/>
      <c r="D166" s="45" t="s">
        <v>155</v>
      </c>
      <c r="E166" s="41">
        <f>SUM(E167)</f>
        <v>25392</v>
      </c>
      <c r="F166" s="41">
        <f>SUM(F167)</f>
        <v>23304</v>
      </c>
      <c r="G166" s="41">
        <f>SUM(G167)</f>
        <v>23304</v>
      </c>
      <c r="H166" s="41">
        <f>SUM(H167)</f>
        <v>0</v>
      </c>
      <c r="I166" s="47">
        <f t="shared" si="12"/>
        <v>91.77693761814744</v>
      </c>
      <c r="J166" s="48"/>
    </row>
    <row r="167" spans="1:10" s="86" customFormat="1" ht="12.75">
      <c r="A167" s="36"/>
      <c r="B167" s="36"/>
      <c r="C167" s="36">
        <v>2030</v>
      </c>
      <c r="D167" s="36" t="s">
        <v>150</v>
      </c>
      <c r="E167" s="37">
        <f>21983+1848+2984-1423</f>
        <v>25392</v>
      </c>
      <c r="F167" s="37">
        <v>23304</v>
      </c>
      <c r="G167" s="83">
        <f>F167</f>
        <v>23304</v>
      </c>
      <c r="H167" s="84"/>
      <c r="I167" s="52">
        <f t="shared" si="12"/>
        <v>91.77693761814744</v>
      </c>
      <c r="J167" s="85"/>
    </row>
    <row r="168" spans="1:9" ht="12.75">
      <c r="A168" s="45"/>
      <c r="B168" s="45">
        <v>85214</v>
      </c>
      <c r="C168" s="45"/>
      <c r="D168" s="45" t="s">
        <v>156</v>
      </c>
      <c r="E168" s="46">
        <f>SUM(E169)</f>
        <v>530536</v>
      </c>
      <c r="F168" s="46">
        <f>SUM(F169)</f>
        <v>529562.89</v>
      </c>
      <c r="G168" s="46">
        <f>SUM(G169)</f>
        <v>529562.89</v>
      </c>
      <c r="H168" s="46">
        <f>SUM(H169)</f>
        <v>0</v>
      </c>
      <c r="I168" s="47">
        <f t="shared" si="12"/>
        <v>99.81657983624108</v>
      </c>
    </row>
    <row r="169" spans="1:10" s="49" customFormat="1" ht="12.75">
      <c r="A169" s="36"/>
      <c r="B169" s="36"/>
      <c r="C169" s="36">
        <v>2030</v>
      </c>
      <c r="D169" s="36" t="s">
        <v>150</v>
      </c>
      <c r="E169" s="37">
        <f>301541+18343-16851+59184+30812+53182+30972+19408+33945</f>
        <v>530536</v>
      </c>
      <c r="F169" s="37">
        <v>529562.89</v>
      </c>
      <c r="G169" s="83">
        <f>F169</f>
        <v>529562.89</v>
      </c>
      <c r="H169" s="68"/>
      <c r="I169" s="52">
        <f t="shared" si="12"/>
        <v>99.81657983624108</v>
      </c>
      <c r="J169" s="48"/>
    </row>
    <row r="170" spans="1:9" ht="12.75">
      <c r="A170" s="45"/>
      <c r="B170" s="45">
        <v>85216</v>
      </c>
      <c r="C170" s="45"/>
      <c r="D170" s="45" t="s">
        <v>157</v>
      </c>
      <c r="E170" s="46">
        <f>SUM(E171)</f>
        <v>331241</v>
      </c>
      <c r="F170" s="46">
        <f>SUM(F171)</f>
        <v>328056.2</v>
      </c>
      <c r="G170" s="46">
        <f>SUM(G171)</f>
        <v>328056.2</v>
      </c>
      <c r="H170" s="46">
        <f>SUM(H171)</f>
        <v>0</v>
      </c>
      <c r="I170" s="47">
        <f t="shared" si="12"/>
        <v>99.038524820297</v>
      </c>
    </row>
    <row r="171" spans="1:10" s="49" customFormat="1" ht="12.75">
      <c r="A171" s="36"/>
      <c r="B171" s="36"/>
      <c r="C171" s="36">
        <v>2030</v>
      </c>
      <c r="D171" s="36" t="s">
        <v>150</v>
      </c>
      <c r="E171" s="37">
        <f>149089+2312+29817+11289+39764+17008+68237+13725</f>
        <v>331241</v>
      </c>
      <c r="F171" s="37">
        <v>328056.2</v>
      </c>
      <c r="G171" s="83">
        <f>F171</f>
        <v>328056.2</v>
      </c>
      <c r="H171" s="68"/>
      <c r="I171" s="52">
        <f t="shared" si="12"/>
        <v>99.038524820297</v>
      </c>
      <c r="J171" s="48"/>
    </row>
    <row r="172" spans="1:9" ht="12.75">
      <c r="A172" s="45"/>
      <c r="B172" s="45">
        <v>85219</v>
      </c>
      <c r="C172" s="45"/>
      <c r="D172" s="45" t="s">
        <v>121</v>
      </c>
      <c r="E172" s="46">
        <f>SUM(E173)</f>
        <v>413866</v>
      </c>
      <c r="F172" s="46">
        <f>SUM(F173)</f>
        <v>413866</v>
      </c>
      <c r="G172" s="46">
        <f>SUM(G173)</f>
        <v>413866</v>
      </c>
      <c r="H172" s="46">
        <f>SUM(H173)</f>
        <v>0</v>
      </c>
      <c r="I172" s="47">
        <f t="shared" si="12"/>
        <v>100</v>
      </c>
    </row>
    <row r="173" spans="1:10" s="49" customFormat="1" ht="12.75">
      <c r="A173" s="36"/>
      <c r="B173" s="36"/>
      <c r="C173" s="36">
        <v>2030</v>
      </c>
      <c r="D173" s="36" t="s">
        <v>150</v>
      </c>
      <c r="E173" s="37">
        <f>390616+11804+10291+1405-250</f>
        <v>413866</v>
      </c>
      <c r="F173" s="37">
        <v>413866</v>
      </c>
      <c r="G173" s="83">
        <f>F173</f>
        <v>413866</v>
      </c>
      <c r="H173" s="68"/>
      <c r="I173" s="52">
        <f t="shared" si="12"/>
        <v>100</v>
      </c>
      <c r="J173" s="48"/>
    </row>
    <row r="174" spans="1:9" ht="12.75">
      <c r="A174" s="45"/>
      <c r="B174" s="45">
        <v>85295</v>
      </c>
      <c r="C174" s="45"/>
      <c r="D174" s="45" t="s">
        <v>68</v>
      </c>
      <c r="E174" s="46">
        <f>SUM(E175:E175)</f>
        <v>389443</v>
      </c>
      <c r="F174" s="46">
        <f>SUM(F175:F175)</f>
        <v>389443</v>
      </c>
      <c r="G174" s="46">
        <f>SUM(G175:G175)</f>
        <v>389443</v>
      </c>
      <c r="H174" s="46">
        <f>SUM(H175:H175)</f>
        <v>0</v>
      </c>
      <c r="I174" s="47">
        <f t="shared" si="12"/>
        <v>100</v>
      </c>
    </row>
    <row r="175" spans="1:10" s="44" customFormat="1" ht="12.75">
      <c r="A175" s="36"/>
      <c r="B175" s="36"/>
      <c r="C175" s="36">
        <v>2030</v>
      </c>
      <c r="D175" s="36" t="s">
        <v>150</v>
      </c>
      <c r="E175" s="37">
        <f>217736+36467+104645+30595</f>
        <v>389443</v>
      </c>
      <c r="F175" s="37">
        <v>389443</v>
      </c>
      <c r="G175" s="50">
        <f>F175</f>
        <v>389443</v>
      </c>
      <c r="H175" s="79"/>
      <c r="I175" s="52">
        <f t="shared" si="12"/>
        <v>100</v>
      </c>
      <c r="J175" s="43"/>
    </row>
    <row r="176" spans="1:10" s="49" customFormat="1" ht="12.75">
      <c r="A176" s="40">
        <v>854</v>
      </c>
      <c r="B176" s="40"/>
      <c r="C176" s="40"/>
      <c r="D176" s="40" t="s">
        <v>158</v>
      </c>
      <c r="E176" s="41">
        <f aca="true" t="shared" si="13" ref="E176:H177">SUM(E177)</f>
        <v>384168</v>
      </c>
      <c r="F176" s="41">
        <f t="shared" si="13"/>
        <v>384167.7</v>
      </c>
      <c r="G176" s="41">
        <f t="shared" si="13"/>
        <v>384167.7</v>
      </c>
      <c r="H176" s="41">
        <f t="shared" si="13"/>
        <v>0</v>
      </c>
      <c r="I176" s="42">
        <f t="shared" si="12"/>
        <v>99.99992190916474</v>
      </c>
      <c r="J176" s="48"/>
    </row>
    <row r="177" spans="1:9" ht="12.75">
      <c r="A177" s="45"/>
      <c r="B177" s="45">
        <v>85415</v>
      </c>
      <c r="C177" s="45"/>
      <c r="D177" s="45" t="s">
        <v>159</v>
      </c>
      <c r="E177" s="46">
        <f t="shared" si="13"/>
        <v>384168</v>
      </c>
      <c r="F177" s="46">
        <f t="shared" si="13"/>
        <v>384167.7</v>
      </c>
      <c r="G177" s="46">
        <f t="shared" si="13"/>
        <v>384167.7</v>
      </c>
      <c r="H177" s="46">
        <f t="shared" si="13"/>
        <v>0</v>
      </c>
      <c r="I177" s="47">
        <f t="shared" si="12"/>
        <v>99.99992190916474</v>
      </c>
    </row>
    <row r="178" spans="1:10" s="44" customFormat="1" ht="12.75">
      <c r="A178" s="36"/>
      <c r="B178" s="36"/>
      <c r="C178" s="36">
        <v>2030</v>
      </c>
      <c r="D178" s="36" t="s">
        <v>150</v>
      </c>
      <c r="E178" s="37">
        <f>191360+67856+137083-12131</f>
        <v>384168</v>
      </c>
      <c r="F178" s="37">
        <v>384167.7</v>
      </c>
      <c r="G178" s="50">
        <f>F178</f>
        <v>384167.7</v>
      </c>
      <c r="H178" s="79"/>
      <c r="I178" s="52">
        <f t="shared" si="12"/>
        <v>99.99992190916474</v>
      </c>
      <c r="J178" s="43"/>
    </row>
    <row r="179" spans="1:10" s="49" customFormat="1" ht="12.75">
      <c r="A179" s="40">
        <v>900</v>
      </c>
      <c r="B179" s="40"/>
      <c r="C179" s="40"/>
      <c r="D179" s="40" t="s">
        <v>123</v>
      </c>
      <c r="E179" s="41">
        <f>SUM(E183,E180)</f>
        <v>1330000</v>
      </c>
      <c r="F179" s="41">
        <f>SUM(F183,F180)</f>
        <v>1461442.02</v>
      </c>
      <c r="G179" s="41">
        <f>SUM(G183,G180)</f>
        <v>0</v>
      </c>
      <c r="H179" s="41">
        <f>SUM(H183,H180)</f>
        <v>1461442.02</v>
      </c>
      <c r="I179" s="42">
        <f t="shared" si="12"/>
        <v>109.88285864661653</v>
      </c>
      <c r="J179" s="48"/>
    </row>
    <row r="180" spans="1:10" s="7" customFormat="1" ht="12.75">
      <c r="A180" s="45"/>
      <c r="B180" s="45">
        <v>90001</v>
      </c>
      <c r="C180" s="45"/>
      <c r="D180" s="45" t="s">
        <v>124</v>
      </c>
      <c r="E180" s="59">
        <f>SUM(E181:E182)</f>
        <v>850000</v>
      </c>
      <c r="F180" s="46">
        <f>SUM(F181:F182)</f>
        <v>994734.88</v>
      </c>
      <c r="G180" s="46">
        <f>SUM(G181:G182)</f>
        <v>0</v>
      </c>
      <c r="H180" s="46">
        <f>SUM(H181:H182)</f>
        <v>994734.88</v>
      </c>
      <c r="I180" s="47">
        <f aca="true" t="shared" si="14" ref="I180:I189">F180/E180*100</f>
        <v>117.02763294117646</v>
      </c>
      <c r="J180" s="2"/>
    </row>
    <row r="181" spans="1:10" s="7" customFormat="1" ht="12.75">
      <c r="A181" s="36"/>
      <c r="B181" s="36"/>
      <c r="C181" s="36">
        <v>6280</v>
      </c>
      <c r="D181" s="36" t="s">
        <v>143</v>
      </c>
      <c r="E181" s="37">
        <f>820000+30000</f>
        <v>850000</v>
      </c>
      <c r="F181" s="37">
        <v>824793.78</v>
      </c>
      <c r="G181" s="38"/>
      <c r="H181" s="37">
        <f>F181</f>
        <v>824793.78</v>
      </c>
      <c r="I181" s="52">
        <f t="shared" si="14"/>
        <v>97.03456235294118</v>
      </c>
      <c r="J181" s="2"/>
    </row>
    <row r="182" spans="1:10" s="7" customFormat="1" ht="12.75">
      <c r="A182" s="36"/>
      <c r="B182" s="36"/>
      <c r="C182" s="36">
        <v>6295</v>
      </c>
      <c r="D182" s="36" t="s">
        <v>160</v>
      </c>
      <c r="E182" s="37"/>
      <c r="F182" s="37">
        <v>169941.1</v>
      </c>
      <c r="G182" s="38"/>
      <c r="H182" s="37">
        <f>F182</f>
        <v>169941.1</v>
      </c>
      <c r="I182" s="52" t="e">
        <f t="shared" si="14"/>
        <v>#DIV/0!</v>
      </c>
      <c r="J182" s="2"/>
    </row>
    <row r="183" spans="1:10" s="49" customFormat="1" ht="12.75">
      <c r="A183" s="45"/>
      <c r="B183" s="45">
        <v>90095</v>
      </c>
      <c r="C183" s="45"/>
      <c r="D183" s="45" t="s">
        <v>68</v>
      </c>
      <c r="E183" s="59">
        <f>SUM(E184:E184)</f>
        <v>480000</v>
      </c>
      <c r="F183" s="46">
        <f>SUM(F184:F184)</f>
        <v>466707.14</v>
      </c>
      <c r="G183" s="46">
        <f>SUM(G184:G184)</f>
        <v>0</v>
      </c>
      <c r="H183" s="46">
        <f>SUM(H184:H184)</f>
        <v>466707.14</v>
      </c>
      <c r="I183" s="47">
        <f t="shared" si="14"/>
        <v>97.23065416666668</v>
      </c>
      <c r="J183" s="48"/>
    </row>
    <row r="184" spans="1:10" s="49" customFormat="1" ht="12.75">
      <c r="A184" s="36"/>
      <c r="B184" s="36"/>
      <c r="C184" s="36">
        <v>6260</v>
      </c>
      <c r="D184" s="36" t="s">
        <v>161</v>
      </c>
      <c r="E184" s="37">
        <v>480000</v>
      </c>
      <c r="F184" s="37">
        <v>466707.14</v>
      </c>
      <c r="G184" s="82"/>
      <c r="H184" s="78">
        <f>F184</f>
        <v>466707.14</v>
      </c>
      <c r="I184" s="52">
        <f t="shared" si="14"/>
        <v>97.23065416666668</v>
      </c>
      <c r="J184" s="48"/>
    </row>
    <row r="185" spans="1:10" s="44" customFormat="1" ht="12.75">
      <c r="A185" s="40">
        <v>921</v>
      </c>
      <c r="B185" s="40"/>
      <c r="C185" s="40"/>
      <c r="D185" s="40" t="s">
        <v>132</v>
      </c>
      <c r="E185" s="58">
        <f aca="true" t="shared" si="15" ref="E185:H186">SUM(E186)</f>
        <v>850000</v>
      </c>
      <c r="F185" s="41">
        <f t="shared" si="15"/>
        <v>0</v>
      </c>
      <c r="G185" s="41">
        <f t="shared" si="15"/>
        <v>0</v>
      </c>
      <c r="H185" s="41">
        <f t="shared" si="15"/>
        <v>0</v>
      </c>
      <c r="I185" s="42">
        <f t="shared" si="14"/>
        <v>0</v>
      </c>
      <c r="J185" s="43"/>
    </row>
    <row r="186" spans="1:10" s="49" customFormat="1" ht="12.75">
      <c r="A186" s="45"/>
      <c r="B186" s="45">
        <v>92195</v>
      </c>
      <c r="C186" s="45"/>
      <c r="D186" s="45" t="s">
        <v>133</v>
      </c>
      <c r="E186" s="59">
        <f t="shared" si="15"/>
        <v>850000</v>
      </c>
      <c r="F186" s="46">
        <f t="shared" si="15"/>
        <v>0</v>
      </c>
      <c r="G186" s="46">
        <f t="shared" si="15"/>
        <v>0</v>
      </c>
      <c r="H186" s="46">
        <f t="shared" si="15"/>
        <v>0</v>
      </c>
      <c r="I186" s="47">
        <f t="shared" si="14"/>
        <v>0</v>
      </c>
      <c r="J186" s="48"/>
    </row>
    <row r="187" spans="1:10" s="44" customFormat="1" ht="12.75">
      <c r="A187" s="36"/>
      <c r="B187" s="36"/>
      <c r="C187" s="36">
        <v>6298</v>
      </c>
      <c r="D187" s="36" t="s">
        <v>140</v>
      </c>
      <c r="E187" s="37">
        <v>850000</v>
      </c>
      <c r="F187" s="37"/>
      <c r="G187" s="81"/>
      <c r="H187" s="37">
        <f>F187</f>
        <v>0</v>
      </c>
      <c r="I187" s="52">
        <f t="shared" si="14"/>
        <v>0</v>
      </c>
      <c r="J187" s="43"/>
    </row>
    <row r="188" spans="1:10" s="49" customFormat="1" ht="12.75">
      <c r="A188" s="40">
        <v>926</v>
      </c>
      <c r="B188" s="40"/>
      <c r="C188" s="40"/>
      <c r="D188" s="40" t="s">
        <v>134</v>
      </c>
      <c r="E188" s="58">
        <f>SUM(E189)</f>
        <v>350000</v>
      </c>
      <c r="F188" s="58">
        <f>SUM(F189)</f>
        <v>346390</v>
      </c>
      <c r="G188" s="58">
        <f>SUM(G189)</f>
        <v>0</v>
      </c>
      <c r="H188" s="58">
        <f>SUM(H189)</f>
        <v>346390</v>
      </c>
      <c r="I188" s="42">
        <f t="shared" si="14"/>
        <v>98.96857142857142</v>
      </c>
      <c r="J188" s="48"/>
    </row>
    <row r="189" spans="1:10" s="49" customFormat="1" ht="12.75">
      <c r="A189" s="45"/>
      <c r="B189" s="45">
        <v>92601</v>
      </c>
      <c r="C189" s="45"/>
      <c r="D189" s="45" t="s">
        <v>135</v>
      </c>
      <c r="E189" s="59">
        <f>SUM(E190:E190)</f>
        <v>350000</v>
      </c>
      <c r="F189" s="46">
        <f>SUM(F190:F190)</f>
        <v>346390</v>
      </c>
      <c r="G189" s="59">
        <f>SUM(G190:G190)</f>
        <v>0</v>
      </c>
      <c r="H189" s="87">
        <f>SUM(H190:H190)</f>
        <v>346390</v>
      </c>
      <c r="I189" s="47">
        <f t="shared" si="14"/>
        <v>98.96857142857142</v>
      </c>
      <c r="J189" s="48"/>
    </row>
    <row r="190" spans="1:10" s="86" customFormat="1" ht="12.75">
      <c r="A190" s="36"/>
      <c r="B190" s="36"/>
      <c r="C190" s="36">
        <v>6330</v>
      </c>
      <c r="D190" s="36" t="s">
        <v>152</v>
      </c>
      <c r="E190" s="37">
        <f>450000-100000</f>
        <v>350000</v>
      </c>
      <c r="F190" s="76">
        <f>196390+150000</f>
        <v>346390</v>
      </c>
      <c r="G190" s="88"/>
      <c r="H190" s="89">
        <f>F190</f>
        <v>346390</v>
      </c>
      <c r="I190" s="52">
        <f>F190/E190*100</f>
        <v>98.96857142857142</v>
      </c>
      <c r="J190" s="85"/>
    </row>
    <row r="191" spans="1:10" ht="12.75">
      <c r="A191" s="90"/>
      <c r="B191" s="91"/>
      <c r="C191" s="92"/>
      <c r="D191" s="93" t="s">
        <v>162</v>
      </c>
      <c r="E191" s="94">
        <f>SUM(E192,E195,E198,E201,E205,E209,E212)</f>
        <v>1016039.71</v>
      </c>
      <c r="F191" s="94">
        <f>SUM(F192,F195,F198,F201,F205,F209,F212)</f>
        <v>904758.75</v>
      </c>
      <c r="G191" s="94">
        <f>SUM(G192,G195,G198,G201,G205,G209,G212)</f>
        <v>904758.75</v>
      </c>
      <c r="H191" s="94">
        <f>SUM(H192,H195,H198,H201,H205,H209,H212)</f>
        <v>0</v>
      </c>
      <c r="I191" s="95">
        <f>F191/E191*100</f>
        <v>89.0475776778449</v>
      </c>
      <c r="J191" s="35"/>
    </row>
    <row r="192" spans="1:10" s="102" customFormat="1" ht="12.75">
      <c r="A192" s="96">
        <v>630</v>
      </c>
      <c r="B192" s="96"/>
      <c r="C192" s="97"/>
      <c r="D192" s="98" t="s">
        <v>163</v>
      </c>
      <c r="E192" s="99">
        <f aca="true" t="shared" si="16" ref="E192:G193">SUM(E193)</f>
        <v>8260.76</v>
      </c>
      <c r="F192" s="99">
        <f t="shared" si="16"/>
        <v>8260.76</v>
      </c>
      <c r="G192" s="99">
        <f t="shared" si="16"/>
        <v>8260.76</v>
      </c>
      <c r="H192" s="99"/>
      <c r="I192" s="100"/>
      <c r="J192" s="101"/>
    </row>
    <row r="193" spans="1:10" s="108" customFormat="1" ht="12.75">
      <c r="A193" s="61"/>
      <c r="B193" s="61">
        <v>63003</v>
      </c>
      <c r="C193" s="103"/>
      <c r="D193" s="104" t="s">
        <v>164</v>
      </c>
      <c r="E193" s="105">
        <f t="shared" si="16"/>
        <v>8260.76</v>
      </c>
      <c r="F193" s="105">
        <f t="shared" si="16"/>
        <v>8260.76</v>
      </c>
      <c r="G193" s="105">
        <f t="shared" si="16"/>
        <v>8260.76</v>
      </c>
      <c r="H193" s="105"/>
      <c r="I193" s="106"/>
      <c r="J193" s="107"/>
    </row>
    <row r="194" spans="1:10" s="114" customFormat="1" ht="12.75">
      <c r="A194" s="62"/>
      <c r="B194" s="62"/>
      <c r="C194" s="109">
        <v>2007</v>
      </c>
      <c r="D194" s="36" t="s">
        <v>165</v>
      </c>
      <c r="E194" s="110">
        <v>8260.76</v>
      </c>
      <c r="F194" s="111">
        <v>8260.76</v>
      </c>
      <c r="G194" s="111">
        <f>F194</f>
        <v>8260.76</v>
      </c>
      <c r="H194" s="112"/>
      <c r="I194" s="113"/>
      <c r="J194" s="101"/>
    </row>
    <row r="195" spans="1:10" s="114" customFormat="1" ht="12.75">
      <c r="A195" s="115">
        <v>750</v>
      </c>
      <c r="B195" s="115"/>
      <c r="C195" s="96"/>
      <c r="D195" s="116" t="s">
        <v>49</v>
      </c>
      <c r="E195" s="117">
        <f>SUM(E196)</f>
        <v>0</v>
      </c>
      <c r="F195" s="118">
        <f>SUM(F196)</f>
        <v>4832</v>
      </c>
      <c r="G195" s="118">
        <f>SUM(G196)</f>
        <v>4832</v>
      </c>
      <c r="H195" s="118">
        <f>SUM(H196)</f>
        <v>0</v>
      </c>
      <c r="I195" s="42" t="e">
        <f>F195/E195*100</f>
        <v>#DIV/0!</v>
      </c>
      <c r="J195" s="119"/>
    </row>
    <row r="196" spans="1:10" s="114" customFormat="1" ht="12.75">
      <c r="A196" s="61"/>
      <c r="B196" s="61">
        <v>75075</v>
      </c>
      <c r="C196" s="61"/>
      <c r="D196" s="120" t="s">
        <v>166</v>
      </c>
      <c r="E196" s="121">
        <f>SUM(E197:E197)</f>
        <v>0</v>
      </c>
      <c r="F196" s="121">
        <f>SUM(F197:F197)</f>
        <v>4832</v>
      </c>
      <c r="G196" s="121">
        <f>SUM(G197:G197)</f>
        <v>4832</v>
      </c>
      <c r="H196" s="121">
        <f>SUM(H197:H197)</f>
        <v>0</v>
      </c>
      <c r="I196" s="47" t="e">
        <f>F196/E196*100</f>
        <v>#DIV/0!</v>
      </c>
      <c r="J196" s="119"/>
    </row>
    <row r="197" spans="1:10" s="114" customFormat="1" ht="12.75">
      <c r="A197" s="62"/>
      <c r="B197" s="62"/>
      <c r="C197" s="62">
        <v>2700</v>
      </c>
      <c r="D197" s="36" t="s">
        <v>167</v>
      </c>
      <c r="E197" s="67"/>
      <c r="F197" s="67">
        <v>4832</v>
      </c>
      <c r="G197" s="112">
        <f>F197</f>
        <v>4832</v>
      </c>
      <c r="H197" s="122"/>
      <c r="I197" s="52"/>
      <c r="J197" s="119"/>
    </row>
    <row r="198" spans="1:10" s="49" customFormat="1" ht="12.75">
      <c r="A198" s="40">
        <v>756</v>
      </c>
      <c r="B198" s="40"/>
      <c r="C198" s="40"/>
      <c r="D198" s="40" t="s">
        <v>69</v>
      </c>
      <c r="E198" s="58">
        <f>SUM(E199)</f>
        <v>212000</v>
      </c>
      <c r="F198" s="41">
        <f>SUM(F199)</f>
        <v>370241</v>
      </c>
      <c r="G198" s="41">
        <f>SUM(G199)</f>
        <v>370241</v>
      </c>
      <c r="H198" s="41">
        <f>SUM(H199)</f>
        <v>0</v>
      </c>
      <c r="I198" s="42">
        <f>F198/E198*100</f>
        <v>174.64198113207547</v>
      </c>
      <c r="J198" s="48"/>
    </row>
    <row r="199" spans="1:10" s="7" customFormat="1" ht="12.75">
      <c r="A199" s="45"/>
      <c r="B199" s="45">
        <v>75616</v>
      </c>
      <c r="C199" s="45"/>
      <c r="D199" s="45" t="s">
        <v>83</v>
      </c>
      <c r="E199" s="46">
        <f>SUM(E200:E200)</f>
        <v>212000</v>
      </c>
      <c r="F199" s="46">
        <f>SUM(F200:F200)</f>
        <v>370241</v>
      </c>
      <c r="G199" s="46">
        <f>SUM(G200:G200)</f>
        <v>370241</v>
      </c>
      <c r="H199" s="46">
        <f>SUM(H200:H200)</f>
        <v>0</v>
      </c>
      <c r="I199" s="47">
        <f>F199/E199*100</f>
        <v>174.64198113207547</v>
      </c>
      <c r="J199" s="2"/>
    </row>
    <row r="200" spans="1:10" s="44" customFormat="1" ht="12.75">
      <c r="A200" s="36"/>
      <c r="B200" s="36"/>
      <c r="C200" s="36">
        <v>2680</v>
      </c>
      <c r="D200" s="36" t="s">
        <v>168</v>
      </c>
      <c r="E200" s="37">
        <f>150000+62000</f>
        <v>212000</v>
      </c>
      <c r="F200" s="37">
        <v>370241</v>
      </c>
      <c r="G200" s="50">
        <f>F200</f>
        <v>370241</v>
      </c>
      <c r="H200" s="79"/>
      <c r="I200" s="52">
        <f>F200/E200*100</f>
        <v>174.64198113207547</v>
      </c>
      <c r="J200" s="43"/>
    </row>
    <row r="201" spans="1:10" s="44" customFormat="1" ht="12.75">
      <c r="A201" s="40">
        <v>801</v>
      </c>
      <c r="B201" s="40"/>
      <c r="C201" s="40"/>
      <c r="D201" s="40" t="s">
        <v>110</v>
      </c>
      <c r="E201" s="58">
        <f>SUM(E202)</f>
        <v>63460</v>
      </c>
      <c r="F201" s="58">
        <f>SUM(F202)</f>
        <v>61318.99</v>
      </c>
      <c r="G201" s="58">
        <f>SUM(G202)</f>
        <v>61318.99</v>
      </c>
      <c r="H201" s="58">
        <f>SUM(H202)</f>
        <v>0</v>
      </c>
      <c r="I201" s="42">
        <f>F201/E201*100</f>
        <v>96.6262054837693</v>
      </c>
      <c r="J201" s="43"/>
    </row>
    <row r="202" spans="1:10" s="49" customFormat="1" ht="12.75">
      <c r="A202" s="45"/>
      <c r="B202" s="45">
        <v>80195</v>
      </c>
      <c r="C202" s="45"/>
      <c r="D202" s="45" t="s">
        <v>68</v>
      </c>
      <c r="E202" s="46">
        <f>SUM(E203:E204)</f>
        <v>63460</v>
      </c>
      <c r="F202" s="46">
        <f>SUM(F203:F204)</f>
        <v>61318.99</v>
      </c>
      <c r="G202" s="46">
        <f>SUM(G203:G204)</f>
        <v>61318.99</v>
      </c>
      <c r="H202" s="46">
        <f>SUM(H203:H204)</f>
        <v>0</v>
      </c>
      <c r="I202" s="47"/>
      <c r="J202" s="48"/>
    </row>
    <row r="203" spans="1:10" s="44" customFormat="1" ht="12.75">
      <c r="A203" s="36"/>
      <c r="B203" s="36"/>
      <c r="C203" s="36">
        <v>2007</v>
      </c>
      <c r="D203" s="36" t="s">
        <v>165</v>
      </c>
      <c r="E203" s="37">
        <v>53941</v>
      </c>
      <c r="F203" s="37">
        <v>52924.5</v>
      </c>
      <c r="G203" s="50">
        <f>F203</f>
        <v>52924.5</v>
      </c>
      <c r="H203" s="79"/>
      <c r="I203" s="52"/>
      <c r="J203" s="43"/>
    </row>
    <row r="204" spans="1:10" s="44" customFormat="1" ht="12.75">
      <c r="A204" s="36"/>
      <c r="B204" s="36"/>
      <c r="C204" s="36">
        <v>2009</v>
      </c>
      <c r="D204" s="36" t="s">
        <v>169</v>
      </c>
      <c r="E204" s="37">
        <v>9519</v>
      </c>
      <c r="F204" s="37">
        <v>8394.49</v>
      </c>
      <c r="G204" s="50">
        <f>F204</f>
        <v>8394.49</v>
      </c>
      <c r="H204" s="79"/>
      <c r="I204" s="52"/>
      <c r="J204" s="43"/>
    </row>
    <row r="205" spans="1:10" s="44" customFormat="1" ht="12.75">
      <c r="A205" s="40">
        <v>853</v>
      </c>
      <c r="B205" s="40"/>
      <c r="C205" s="40"/>
      <c r="D205" s="40" t="s">
        <v>170</v>
      </c>
      <c r="E205" s="58">
        <f>SUM(E206)</f>
        <v>500818.95</v>
      </c>
      <c r="F205" s="41">
        <f>SUM(F206)</f>
        <v>460106</v>
      </c>
      <c r="G205" s="41">
        <f>SUM(G206)</f>
        <v>460106</v>
      </c>
      <c r="H205" s="41">
        <f>SUM(H206)</f>
        <v>0</v>
      </c>
      <c r="I205" s="42">
        <f>F205/E205*100</f>
        <v>91.8707249396214</v>
      </c>
      <c r="J205" s="43"/>
    </row>
    <row r="206" spans="1:10" s="49" customFormat="1" ht="12.75">
      <c r="A206" s="45"/>
      <c r="B206" s="45">
        <v>85395</v>
      </c>
      <c r="C206" s="45"/>
      <c r="D206" s="45" t="s">
        <v>133</v>
      </c>
      <c r="E206" s="59">
        <f>SUM(E207:E208)</f>
        <v>500818.95</v>
      </c>
      <c r="F206" s="46">
        <f>SUM(F207:F208)</f>
        <v>460106</v>
      </c>
      <c r="G206" s="46">
        <f>SUM(G207:G208)</f>
        <v>460106</v>
      </c>
      <c r="H206" s="46">
        <f>SUM(H207:H208)</f>
        <v>0</v>
      </c>
      <c r="I206" s="47">
        <f>F206/E206*100</f>
        <v>91.8707249396214</v>
      </c>
      <c r="J206" s="48"/>
    </row>
    <row r="207" spans="1:10" s="7" customFormat="1" ht="12.75">
      <c r="A207" s="36"/>
      <c r="B207" s="36"/>
      <c r="C207" s="36">
        <v>2007</v>
      </c>
      <c r="D207" s="36" t="s">
        <v>165</v>
      </c>
      <c r="E207" s="37">
        <f>47940+408926.5+2170.25</f>
        <v>459036.75</v>
      </c>
      <c r="F207" s="37">
        <v>420127.13</v>
      </c>
      <c r="G207" s="50">
        <f>F207</f>
        <v>420127.13</v>
      </c>
      <c r="H207" s="51"/>
      <c r="I207" s="52"/>
      <c r="J207" s="2"/>
    </row>
    <row r="208" spans="1:10" s="44" customFormat="1" ht="21" customHeight="1">
      <c r="A208" s="36"/>
      <c r="B208" s="36"/>
      <c r="C208" s="36">
        <v>2009</v>
      </c>
      <c r="D208" s="36" t="s">
        <v>169</v>
      </c>
      <c r="E208" s="37">
        <f>8940+32512.45+329.75</f>
        <v>41782.2</v>
      </c>
      <c r="F208" s="37">
        <v>39978.87</v>
      </c>
      <c r="G208" s="50">
        <f>F208</f>
        <v>39978.87</v>
      </c>
      <c r="H208" s="79"/>
      <c r="I208" s="52">
        <f aca="true" t="shared" si="17" ref="I208:I218">F208/E208*100</f>
        <v>95.68397547280901</v>
      </c>
      <c r="J208" s="43"/>
    </row>
    <row r="209" spans="1:10" s="44" customFormat="1" ht="12.75">
      <c r="A209" s="40">
        <v>900</v>
      </c>
      <c r="B209" s="40"/>
      <c r="C209" s="40"/>
      <c r="D209" s="40" t="s">
        <v>123</v>
      </c>
      <c r="E209" s="58">
        <f aca="true" t="shared" si="18" ref="E209:H210">SUM(E210)</f>
        <v>150000</v>
      </c>
      <c r="F209" s="41">
        <f t="shared" si="18"/>
        <v>0</v>
      </c>
      <c r="G209" s="41">
        <f t="shared" si="18"/>
        <v>0</v>
      </c>
      <c r="H209" s="41">
        <f t="shared" si="18"/>
        <v>0</v>
      </c>
      <c r="I209" s="42">
        <f t="shared" si="17"/>
        <v>0</v>
      </c>
      <c r="J209" s="43"/>
    </row>
    <row r="210" spans="1:10" s="49" customFormat="1" ht="20.25" customHeight="1">
      <c r="A210" s="45"/>
      <c r="B210" s="45">
        <v>90002</v>
      </c>
      <c r="C210" s="45"/>
      <c r="D210" s="45" t="s">
        <v>171</v>
      </c>
      <c r="E210" s="46">
        <f t="shared" si="18"/>
        <v>150000</v>
      </c>
      <c r="F210" s="46">
        <f t="shared" si="18"/>
        <v>0</v>
      </c>
      <c r="G210" s="46">
        <f t="shared" si="18"/>
        <v>0</v>
      </c>
      <c r="H210" s="46">
        <f t="shared" si="18"/>
        <v>0</v>
      </c>
      <c r="I210" s="47">
        <f t="shared" si="17"/>
        <v>0</v>
      </c>
      <c r="J210" s="48"/>
    </row>
    <row r="211" spans="1:10" s="44" customFormat="1" ht="21" customHeight="1">
      <c r="A211" s="36"/>
      <c r="B211" s="36"/>
      <c r="C211" s="36">
        <v>2440</v>
      </c>
      <c r="D211" s="36" t="s">
        <v>172</v>
      </c>
      <c r="E211" s="37">
        <v>150000</v>
      </c>
      <c r="F211" s="37"/>
      <c r="G211" s="37">
        <f>F211</f>
        <v>0</v>
      </c>
      <c r="H211" s="37"/>
      <c r="I211" s="52">
        <f t="shared" si="17"/>
        <v>0</v>
      </c>
      <c r="J211" s="43"/>
    </row>
    <row r="212" spans="1:10" s="44" customFormat="1" ht="12.75">
      <c r="A212" s="40">
        <v>921</v>
      </c>
      <c r="B212" s="40"/>
      <c r="C212" s="40"/>
      <c r="D212" s="40" t="s">
        <v>132</v>
      </c>
      <c r="E212" s="58">
        <f aca="true" t="shared" si="19" ref="E212:H213">SUM(E213)</f>
        <v>81500</v>
      </c>
      <c r="F212" s="41">
        <f t="shared" si="19"/>
        <v>0</v>
      </c>
      <c r="G212" s="41">
        <f t="shared" si="19"/>
        <v>0</v>
      </c>
      <c r="H212" s="41">
        <f t="shared" si="19"/>
        <v>0</v>
      </c>
      <c r="I212" s="42">
        <f t="shared" si="17"/>
        <v>0</v>
      </c>
      <c r="J212" s="43"/>
    </row>
    <row r="213" spans="1:10" s="49" customFormat="1" ht="12.75">
      <c r="A213" s="45"/>
      <c r="B213" s="45">
        <v>92195</v>
      </c>
      <c r="C213" s="45"/>
      <c r="D213" s="45" t="s">
        <v>133</v>
      </c>
      <c r="E213" s="59">
        <f t="shared" si="19"/>
        <v>81500</v>
      </c>
      <c r="F213" s="46">
        <f t="shared" si="19"/>
        <v>0</v>
      </c>
      <c r="G213" s="46">
        <f t="shared" si="19"/>
        <v>0</v>
      </c>
      <c r="H213" s="46">
        <f t="shared" si="19"/>
        <v>0</v>
      </c>
      <c r="I213" s="47">
        <f t="shared" si="17"/>
        <v>0</v>
      </c>
      <c r="J213" s="48"/>
    </row>
    <row r="214" spans="1:10" s="44" customFormat="1" ht="12.75">
      <c r="A214" s="36"/>
      <c r="B214" s="36"/>
      <c r="C214" s="36">
        <v>2708</v>
      </c>
      <c r="D214" s="36" t="s">
        <v>173</v>
      </c>
      <c r="E214" s="37">
        <v>81500</v>
      </c>
      <c r="F214" s="37"/>
      <c r="G214" s="37">
        <f>F214</f>
        <v>0</v>
      </c>
      <c r="H214" s="37"/>
      <c r="I214" s="52">
        <f t="shared" si="17"/>
        <v>0</v>
      </c>
      <c r="J214" s="43"/>
    </row>
    <row r="215" spans="1:10" s="126" customFormat="1" ht="12.75">
      <c r="A215" s="123"/>
      <c r="B215" s="123"/>
      <c r="C215" s="123"/>
      <c r="D215" s="123" t="s">
        <v>174</v>
      </c>
      <c r="E215" s="124">
        <f>SUM(E222,E219,E216)</f>
        <v>20000</v>
      </c>
      <c r="F215" s="124">
        <f>SUM(F222,F219,F216)</f>
        <v>19062.9</v>
      </c>
      <c r="G215" s="124">
        <f>SUM(G222,G219,G216)</f>
        <v>19062.9</v>
      </c>
      <c r="H215" s="124">
        <f>SUM(H222,H219,H216)</f>
        <v>0</v>
      </c>
      <c r="I215" s="95">
        <f t="shared" si="17"/>
        <v>95.3145</v>
      </c>
      <c r="J215" s="125"/>
    </row>
    <row r="216" spans="1:10" s="44" customFormat="1" ht="12.75">
      <c r="A216" s="40">
        <v>600</v>
      </c>
      <c r="B216" s="40"/>
      <c r="C216" s="40"/>
      <c r="D216" s="40" t="s">
        <v>141</v>
      </c>
      <c r="E216" s="41">
        <f>SUM(E217)</f>
        <v>10000</v>
      </c>
      <c r="F216" s="41">
        <f>SUM(F217)</f>
        <v>9062.9</v>
      </c>
      <c r="G216" s="41">
        <f>SUM(G217)</f>
        <v>9062.9</v>
      </c>
      <c r="H216" s="41">
        <f>SUM(H217)</f>
        <v>0</v>
      </c>
      <c r="I216" s="52">
        <f t="shared" si="17"/>
        <v>90.62899999999999</v>
      </c>
      <c r="J216" s="43"/>
    </row>
    <row r="217" spans="1:10" s="49" customFormat="1" ht="12.75">
      <c r="A217" s="45"/>
      <c r="B217" s="45">
        <v>60013</v>
      </c>
      <c r="C217" s="45"/>
      <c r="D217" s="45" t="s">
        <v>175</v>
      </c>
      <c r="E217" s="59">
        <f>SUM(E218:E218)</f>
        <v>10000</v>
      </c>
      <c r="F217" s="46">
        <f>SUM(F218:F218)</f>
        <v>9062.9</v>
      </c>
      <c r="G217" s="46">
        <f>SUM(G218:G218)</f>
        <v>9062.9</v>
      </c>
      <c r="H217" s="46">
        <f>SUM(H218:H218)</f>
        <v>0</v>
      </c>
      <c r="I217" s="47">
        <f t="shared" si="17"/>
        <v>90.62899999999999</v>
      </c>
      <c r="J217" s="48"/>
    </row>
    <row r="218" spans="1:10" s="7" customFormat="1" ht="12.75">
      <c r="A218" s="36"/>
      <c r="B218" s="36"/>
      <c r="C218" s="36">
        <v>2330</v>
      </c>
      <c r="D218" s="36" t="s">
        <v>176</v>
      </c>
      <c r="E218" s="37">
        <v>10000</v>
      </c>
      <c r="F218" s="37">
        <v>9062.9</v>
      </c>
      <c r="G218" s="50">
        <f>F218</f>
        <v>9062.9</v>
      </c>
      <c r="H218" s="51"/>
      <c r="I218" s="52">
        <f t="shared" si="17"/>
        <v>90.62899999999999</v>
      </c>
      <c r="J218" s="2"/>
    </row>
    <row r="219" spans="1:10" s="114" customFormat="1" ht="12.75">
      <c r="A219" s="61">
        <v>750</v>
      </c>
      <c r="B219" s="61"/>
      <c r="C219" s="61"/>
      <c r="D219" s="120" t="s">
        <v>49</v>
      </c>
      <c r="E219" s="121">
        <f aca="true" t="shared" si="20" ref="E219:H220">SUM(E220)</f>
        <v>0</v>
      </c>
      <c r="F219" s="121">
        <f t="shared" si="20"/>
        <v>0</v>
      </c>
      <c r="G219" s="127">
        <f t="shared" si="20"/>
        <v>0</v>
      </c>
      <c r="H219" s="127">
        <f t="shared" si="20"/>
        <v>0</v>
      </c>
      <c r="I219" s="42" t="e">
        <f aca="true" t="shared" si="21" ref="I219:I225">F219/E219*100</f>
        <v>#DIV/0!</v>
      </c>
      <c r="J219" s="119"/>
    </row>
    <row r="220" spans="1:10" s="114" customFormat="1" ht="12.75">
      <c r="A220" s="61"/>
      <c r="B220" s="61">
        <v>75095</v>
      </c>
      <c r="C220" s="61"/>
      <c r="D220" s="128" t="s">
        <v>68</v>
      </c>
      <c r="E220" s="121">
        <f t="shared" si="20"/>
        <v>0</v>
      </c>
      <c r="F220" s="121">
        <f t="shared" si="20"/>
        <v>0</v>
      </c>
      <c r="G220" s="121">
        <f t="shared" si="20"/>
        <v>0</v>
      </c>
      <c r="H220" s="121">
        <f t="shared" si="20"/>
        <v>0</v>
      </c>
      <c r="I220" s="47" t="e">
        <f t="shared" si="21"/>
        <v>#DIV/0!</v>
      </c>
      <c r="J220" s="119"/>
    </row>
    <row r="221" spans="1:10" s="44" customFormat="1" ht="12.75">
      <c r="A221" s="62"/>
      <c r="B221" s="62"/>
      <c r="C221" s="62">
        <v>2310</v>
      </c>
      <c r="D221" s="36" t="s">
        <v>177</v>
      </c>
      <c r="E221" s="67"/>
      <c r="F221" s="67">
        <f>E221</f>
        <v>0</v>
      </c>
      <c r="G221" s="67">
        <f>F221</f>
        <v>0</v>
      </c>
      <c r="H221" s="67"/>
      <c r="I221" s="52" t="e">
        <f t="shared" si="21"/>
        <v>#DIV/0!</v>
      </c>
      <c r="J221" s="43"/>
    </row>
    <row r="222" spans="1:10" s="49" customFormat="1" ht="12.75">
      <c r="A222" s="40">
        <v>921</v>
      </c>
      <c r="B222" s="40"/>
      <c r="C222" s="40"/>
      <c r="D222" s="40" t="s">
        <v>132</v>
      </c>
      <c r="E222" s="41">
        <f aca="true" t="shared" si="22" ref="E222:H223">SUM(E223)</f>
        <v>10000</v>
      </c>
      <c r="F222" s="41">
        <f t="shared" si="22"/>
        <v>10000</v>
      </c>
      <c r="G222" s="41">
        <f t="shared" si="22"/>
        <v>10000</v>
      </c>
      <c r="H222" s="41">
        <f t="shared" si="22"/>
        <v>0</v>
      </c>
      <c r="I222" s="42">
        <f t="shared" si="21"/>
        <v>100</v>
      </c>
      <c r="J222" s="48"/>
    </row>
    <row r="223" spans="1:9" ht="12.75">
      <c r="A223" s="45"/>
      <c r="B223" s="45">
        <v>92116</v>
      </c>
      <c r="C223" s="45"/>
      <c r="D223" s="45" t="s">
        <v>178</v>
      </c>
      <c r="E223" s="46">
        <f t="shared" si="22"/>
        <v>10000</v>
      </c>
      <c r="F223" s="46">
        <f t="shared" si="22"/>
        <v>10000</v>
      </c>
      <c r="G223" s="46">
        <f t="shared" si="22"/>
        <v>10000</v>
      </c>
      <c r="H223" s="46">
        <f t="shared" si="22"/>
        <v>0</v>
      </c>
      <c r="I223" s="47">
        <f t="shared" si="21"/>
        <v>100</v>
      </c>
    </row>
    <row r="224" spans="1:9" ht="12.75">
      <c r="A224" s="36"/>
      <c r="B224" s="36"/>
      <c r="C224" s="36">
        <v>2320</v>
      </c>
      <c r="D224" s="36" t="s">
        <v>179</v>
      </c>
      <c r="E224" s="37">
        <f>5000+5000</f>
        <v>10000</v>
      </c>
      <c r="F224" s="37">
        <v>10000</v>
      </c>
      <c r="G224" s="37">
        <f>F224</f>
        <v>10000</v>
      </c>
      <c r="H224" s="37"/>
      <c r="I224" s="52">
        <f t="shared" si="21"/>
        <v>100</v>
      </c>
    </row>
    <row r="225" spans="1:10" ht="12.75">
      <c r="A225" s="72"/>
      <c r="B225" s="72"/>
      <c r="C225" s="72"/>
      <c r="D225" s="72" t="s">
        <v>180</v>
      </c>
      <c r="E225" s="73">
        <f>SUM(E227,E230,E235,E242)</f>
        <v>8653426.43</v>
      </c>
      <c r="F225" s="73">
        <f>SUM(F227,F230,F235,F242)</f>
        <v>8653560.290000001</v>
      </c>
      <c r="G225" s="73">
        <f>SUM(G227,G230,G235,G242)</f>
        <v>8653560.290000001</v>
      </c>
      <c r="H225" s="73">
        <f>SUM(H227,H230,H235,H242)</f>
        <v>0</v>
      </c>
      <c r="I225" s="95">
        <f t="shared" si="21"/>
        <v>100.0015469016936</v>
      </c>
      <c r="J225" s="35"/>
    </row>
    <row r="226" spans="1:10" s="44" customFormat="1" ht="12.75">
      <c r="A226" s="75"/>
      <c r="B226" s="75"/>
      <c r="C226" s="75"/>
      <c r="D226" s="75" t="s">
        <v>22</v>
      </c>
      <c r="E226" s="76"/>
      <c r="F226" s="76"/>
      <c r="G226" s="81"/>
      <c r="H226" s="79"/>
      <c r="I226" s="52"/>
      <c r="J226" s="43"/>
    </row>
    <row r="227" spans="1:10" s="49" customFormat="1" ht="12.75">
      <c r="A227" s="26" t="s">
        <v>23</v>
      </c>
      <c r="B227" s="26"/>
      <c r="C227" s="26"/>
      <c r="D227" s="40" t="s">
        <v>24</v>
      </c>
      <c r="E227" s="129">
        <f aca="true" t="shared" si="23" ref="E227:H228">SUM(E228)</f>
        <v>538807.4299999999</v>
      </c>
      <c r="F227" s="129">
        <f t="shared" si="23"/>
        <v>538807.4299999999</v>
      </c>
      <c r="G227" s="129">
        <f t="shared" si="23"/>
        <v>538807.4299999999</v>
      </c>
      <c r="H227" s="129">
        <f t="shared" si="23"/>
        <v>0</v>
      </c>
      <c r="I227" s="42">
        <f aca="true" t="shared" si="24" ref="I227:I237">F227/E227*100</f>
        <v>100</v>
      </c>
      <c r="J227" s="48"/>
    </row>
    <row r="228" spans="1:9" ht="12.75">
      <c r="A228" s="130"/>
      <c r="B228" s="130" t="s">
        <v>181</v>
      </c>
      <c r="C228" s="130"/>
      <c r="D228" s="130" t="s">
        <v>133</v>
      </c>
      <c r="E228" s="66">
        <f t="shared" si="23"/>
        <v>538807.4299999999</v>
      </c>
      <c r="F228" s="66">
        <f t="shared" si="23"/>
        <v>538807.4299999999</v>
      </c>
      <c r="G228" s="66">
        <f t="shared" si="23"/>
        <v>538807.4299999999</v>
      </c>
      <c r="H228" s="66">
        <f t="shared" si="23"/>
        <v>0</v>
      </c>
      <c r="I228" s="47">
        <f t="shared" si="24"/>
        <v>100</v>
      </c>
    </row>
    <row r="229" spans="1:10" s="44" customFormat="1" ht="12.75">
      <c r="A229" s="75"/>
      <c r="B229" s="75"/>
      <c r="C229" s="75">
        <v>2010</v>
      </c>
      <c r="D229" s="36" t="s">
        <v>182</v>
      </c>
      <c r="E229" s="76">
        <f>241901.24+296906.19</f>
        <v>538807.4299999999</v>
      </c>
      <c r="F229" s="76">
        <f>E229</f>
        <v>538807.4299999999</v>
      </c>
      <c r="G229" s="50">
        <f>F229</f>
        <v>538807.4299999999</v>
      </c>
      <c r="H229" s="79"/>
      <c r="I229" s="52">
        <f t="shared" si="24"/>
        <v>100</v>
      </c>
      <c r="J229" s="43"/>
    </row>
    <row r="230" spans="1:10" s="49" customFormat="1" ht="12.75">
      <c r="A230" s="40">
        <v>750</v>
      </c>
      <c r="B230" s="40"/>
      <c r="C230" s="40"/>
      <c r="D230" s="40" t="s">
        <v>49</v>
      </c>
      <c r="E230" s="41">
        <f>SUM(E231,E233)</f>
        <v>195146</v>
      </c>
      <c r="F230" s="41">
        <f>SUM(F231,F233)</f>
        <v>195146</v>
      </c>
      <c r="G230" s="41">
        <f>SUM(G231,G233)</f>
        <v>195146</v>
      </c>
      <c r="H230" s="41">
        <f>SUM(H231,H233)</f>
        <v>0</v>
      </c>
      <c r="I230" s="42">
        <f t="shared" si="24"/>
        <v>100</v>
      </c>
      <c r="J230" s="48"/>
    </row>
    <row r="231" spans="1:9" ht="12.75">
      <c r="A231" s="45"/>
      <c r="B231" s="45">
        <v>75011</v>
      </c>
      <c r="C231" s="45"/>
      <c r="D231" s="45" t="s">
        <v>50</v>
      </c>
      <c r="E231" s="46">
        <f>SUM(E232)</f>
        <v>179000</v>
      </c>
      <c r="F231" s="46">
        <f>SUM(F232)</f>
        <v>179000</v>
      </c>
      <c r="G231" s="46">
        <f>SUM(G232)</f>
        <v>179000</v>
      </c>
      <c r="H231" s="46">
        <f>SUM(H232)</f>
        <v>0</v>
      </c>
      <c r="I231" s="47">
        <f t="shared" si="24"/>
        <v>100</v>
      </c>
    </row>
    <row r="232" spans="1:10" s="44" customFormat="1" ht="12.75">
      <c r="A232" s="36"/>
      <c r="B232" s="36"/>
      <c r="C232" s="36">
        <v>2010</v>
      </c>
      <c r="D232" s="36" t="s">
        <v>182</v>
      </c>
      <c r="E232" s="37">
        <f>178601+399</f>
        <v>179000</v>
      </c>
      <c r="F232" s="37">
        <v>179000</v>
      </c>
      <c r="G232" s="50">
        <f>F232</f>
        <v>179000</v>
      </c>
      <c r="H232" s="79"/>
      <c r="I232" s="52">
        <f t="shared" si="24"/>
        <v>100</v>
      </c>
      <c r="J232" s="43"/>
    </row>
    <row r="233" spans="1:10" s="44" customFormat="1" ht="12.75">
      <c r="A233" s="40"/>
      <c r="B233" s="40">
        <v>75056</v>
      </c>
      <c r="C233" s="40"/>
      <c r="D233" s="40" t="s">
        <v>183</v>
      </c>
      <c r="E233" s="41">
        <f>SUM(E234)</f>
        <v>16146</v>
      </c>
      <c r="F233" s="41">
        <f>SUM(F234)</f>
        <v>16146</v>
      </c>
      <c r="G233" s="41">
        <f>SUM(G234)</f>
        <v>16146</v>
      </c>
      <c r="H233" s="41">
        <f>SUM(H234)</f>
        <v>0</v>
      </c>
      <c r="I233" s="42">
        <f t="shared" si="24"/>
        <v>100</v>
      </c>
      <c r="J233" s="43"/>
    </row>
    <row r="234" spans="1:10" s="44" customFormat="1" ht="12.75">
      <c r="A234" s="36"/>
      <c r="B234" s="36"/>
      <c r="C234" s="36">
        <v>2010</v>
      </c>
      <c r="D234" s="36" t="s">
        <v>182</v>
      </c>
      <c r="E234" s="37">
        <f>14329+1817</f>
        <v>16146</v>
      </c>
      <c r="F234" s="37">
        <v>16146</v>
      </c>
      <c r="G234" s="50">
        <f>F234</f>
        <v>16146</v>
      </c>
      <c r="H234" s="81"/>
      <c r="I234" s="52">
        <f t="shared" si="24"/>
        <v>100</v>
      </c>
      <c r="J234" s="43"/>
    </row>
    <row r="235" spans="1:10" s="49" customFormat="1" ht="12.75">
      <c r="A235" s="40">
        <v>751</v>
      </c>
      <c r="B235" s="40"/>
      <c r="C235" s="40"/>
      <c r="D235" s="40" t="s">
        <v>184</v>
      </c>
      <c r="E235" s="129">
        <f>SUM(E236,E238,E240)</f>
        <v>101889</v>
      </c>
      <c r="F235" s="129">
        <f>SUM(F236,F238,F240)</f>
        <v>100409</v>
      </c>
      <c r="G235" s="129">
        <f>SUM(G236,G238,G240)</f>
        <v>100409</v>
      </c>
      <c r="H235" s="129">
        <f>SUM(H236,H238,H240)</f>
        <v>0</v>
      </c>
      <c r="I235" s="42">
        <f t="shared" si="24"/>
        <v>98.54743887956502</v>
      </c>
      <c r="J235" s="48"/>
    </row>
    <row r="236" spans="1:9" ht="12.75">
      <c r="A236" s="45"/>
      <c r="B236" s="45">
        <v>75101</v>
      </c>
      <c r="C236" s="45"/>
      <c r="D236" s="45" t="s">
        <v>185</v>
      </c>
      <c r="E236" s="46">
        <f>SUM(E237)</f>
        <v>3300</v>
      </c>
      <c r="F236" s="46">
        <f>SUM(F237)</f>
        <v>3300</v>
      </c>
      <c r="G236" s="46">
        <f>SUM(G237)</f>
        <v>3300</v>
      </c>
      <c r="H236" s="46">
        <f>SUM(H237)</f>
        <v>0</v>
      </c>
      <c r="I236" s="47">
        <f t="shared" si="24"/>
        <v>100</v>
      </c>
    </row>
    <row r="237" spans="1:10" s="49" customFormat="1" ht="12.75">
      <c r="A237" s="36"/>
      <c r="B237" s="36"/>
      <c r="C237" s="36">
        <v>2010</v>
      </c>
      <c r="D237" s="36" t="s">
        <v>182</v>
      </c>
      <c r="E237" s="37">
        <v>3300</v>
      </c>
      <c r="F237" s="37">
        <v>3300</v>
      </c>
      <c r="G237" s="83">
        <f>F237</f>
        <v>3300</v>
      </c>
      <c r="H237" s="68"/>
      <c r="I237" s="52">
        <f t="shared" si="24"/>
        <v>100</v>
      </c>
      <c r="J237" s="48"/>
    </row>
    <row r="238" spans="1:10" s="49" customFormat="1" ht="12.75">
      <c r="A238" s="45"/>
      <c r="B238" s="45">
        <v>75107</v>
      </c>
      <c r="C238" s="45"/>
      <c r="D238" s="45" t="s">
        <v>186</v>
      </c>
      <c r="E238" s="46">
        <f>SUM(E239)</f>
        <v>57289</v>
      </c>
      <c r="F238" s="46">
        <f>SUM(F239)</f>
        <v>57289</v>
      </c>
      <c r="G238" s="46">
        <f>SUM(G239)</f>
        <v>57289</v>
      </c>
      <c r="H238" s="46">
        <f>SUM(H239)</f>
        <v>0</v>
      </c>
      <c r="I238" s="47"/>
      <c r="J238" s="48"/>
    </row>
    <row r="239" spans="1:10" s="49" customFormat="1" ht="12.75">
      <c r="A239" s="36"/>
      <c r="B239" s="36"/>
      <c r="C239" s="36">
        <v>2010</v>
      </c>
      <c r="D239" s="36" t="s">
        <v>182</v>
      </c>
      <c r="E239" s="37">
        <f>26284+15840+15840-675</f>
        <v>57289</v>
      </c>
      <c r="F239" s="37">
        <v>57289</v>
      </c>
      <c r="G239" s="83">
        <f>F239</f>
        <v>57289</v>
      </c>
      <c r="H239" s="68"/>
      <c r="I239" s="52"/>
      <c r="J239" s="48"/>
    </row>
    <row r="240" spans="1:10" s="49" customFormat="1" ht="12.75">
      <c r="A240" s="45"/>
      <c r="B240" s="45">
        <v>75109</v>
      </c>
      <c r="C240" s="45"/>
      <c r="D240" s="48" t="s">
        <v>187</v>
      </c>
      <c r="E240" s="46">
        <f>SUM(E241)</f>
        <v>41300</v>
      </c>
      <c r="F240" s="46">
        <f>SUM(F241)</f>
        <v>39820</v>
      </c>
      <c r="G240" s="46">
        <f>SUM(G241)</f>
        <v>39820</v>
      </c>
      <c r="H240" s="46">
        <f>SUM(H241)</f>
        <v>0</v>
      </c>
      <c r="I240" s="47"/>
      <c r="J240" s="48"/>
    </row>
    <row r="241" spans="1:10" s="44" customFormat="1" ht="12.75">
      <c r="A241" s="36"/>
      <c r="B241" s="36"/>
      <c r="C241" s="36">
        <v>2010</v>
      </c>
      <c r="D241" s="36" t="s">
        <v>182</v>
      </c>
      <c r="E241" s="37">
        <v>41300</v>
      </c>
      <c r="F241" s="37">
        <v>39820</v>
      </c>
      <c r="G241" s="50">
        <f>F241</f>
        <v>39820</v>
      </c>
      <c r="H241" s="131"/>
      <c r="I241" s="52"/>
      <c r="J241" s="43"/>
    </row>
    <row r="242" spans="1:10" s="49" customFormat="1" ht="12.75">
      <c r="A242" s="40">
        <v>852</v>
      </c>
      <c r="B242" s="40"/>
      <c r="C242" s="40"/>
      <c r="D242" s="40" t="s">
        <v>188</v>
      </c>
      <c r="E242" s="41">
        <f>SUM(E243,E245)</f>
        <v>7817584</v>
      </c>
      <c r="F242" s="41">
        <f>SUM(F243,F245)</f>
        <v>7819197.86</v>
      </c>
      <c r="G242" s="41">
        <f>SUM(G243,G245)</f>
        <v>7819197.86</v>
      </c>
      <c r="H242" s="41">
        <f>SUM(H243,H245)</f>
        <v>0</v>
      </c>
      <c r="I242" s="42">
        <f aca="true" t="shared" si="25" ref="I242:I259">F242/E242*100</f>
        <v>100.0206439738927</v>
      </c>
      <c r="J242" s="48"/>
    </row>
    <row r="243" spans="1:9" ht="12.75">
      <c r="A243" s="45"/>
      <c r="B243" s="45">
        <v>85212</v>
      </c>
      <c r="C243" s="45"/>
      <c r="D243" s="128" t="s">
        <v>189</v>
      </c>
      <c r="E243" s="46">
        <f>SUM(E244:E244)</f>
        <v>7801857</v>
      </c>
      <c r="F243" s="46">
        <f>SUM(F244:F244)</f>
        <v>7801851</v>
      </c>
      <c r="G243" s="46">
        <f>SUM(G244:G244)</f>
        <v>7801851</v>
      </c>
      <c r="H243" s="46">
        <f>SUM(H244:H244)</f>
        <v>0</v>
      </c>
      <c r="I243" s="47">
        <f t="shared" si="25"/>
        <v>99.99992309523232</v>
      </c>
    </row>
    <row r="244" spans="1:10" s="49" customFormat="1" ht="12.75">
      <c r="A244" s="36"/>
      <c r="B244" s="36"/>
      <c r="C244" s="36">
        <v>2010</v>
      </c>
      <c r="D244" s="36" t="s">
        <v>182</v>
      </c>
      <c r="E244" s="37">
        <f>7742482-3970-450522+195836+124689+193342</f>
        <v>7801857</v>
      </c>
      <c r="F244" s="37">
        <v>7801851</v>
      </c>
      <c r="G244" s="83">
        <f>F244</f>
        <v>7801851</v>
      </c>
      <c r="H244" s="68"/>
      <c r="I244" s="52">
        <f t="shared" si="25"/>
        <v>99.99992309523232</v>
      </c>
      <c r="J244" s="48"/>
    </row>
    <row r="245" spans="1:9" ht="12.75">
      <c r="A245" s="45"/>
      <c r="B245" s="45">
        <v>85213</v>
      </c>
      <c r="C245" s="45"/>
      <c r="D245" s="45" t="s">
        <v>155</v>
      </c>
      <c r="E245" s="46">
        <f>SUM(E246)</f>
        <v>15727</v>
      </c>
      <c r="F245" s="46">
        <f>SUM(F246)</f>
        <v>17346.86</v>
      </c>
      <c r="G245" s="46">
        <f>SUM(G246)</f>
        <v>17346.86</v>
      </c>
      <c r="H245" s="46">
        <f>SUM(H246)</f>
        <v>0</v>
      </c>
      <c r="I245" s="47">
        <f t="shared" si="25"/>
        <v>110.29986647167291</v>
      </c>
    </row>
    <row r="246" spans="1:10" s="49" customFormat="1" ht="12.75">
      <c r="A246" s="36"/>
      <c r="B246" s="36"/>
      <c r="C246" s="36">
        <v>2010</v>
      </c>
      <c r="D246" s="36" t="s">
        <v>182</v>
      </c>
      <c r="E246" s="37">
        <f>8771+1007-1282+1100+6131+123-123</f>
        <v>15727</v>
      </c>
      <c r="F246" s="37">
        <v>17346.86</v>
      </c>
      <c r="G246" s="83">
        <f>F246</f>
        <v>17346.86</v>
      </c>
      <c r="H246" s="68"/>
      <c r="I246" s="52">
        <f t="shared" si="25"/>
        <v>110.29986647167291</v>
      </c>
      <c r="J246" s="48"/>
    </row>
    <row r="247" spans="1:10" s="44" customFormat="1" ht="12.75">
      <c r="A247" s="132"/>
      <c r="B247" s="91"/>
      <c r="C247" s="93"/>
      <c r="D247" s="123" t="s">
        <v>190</v>
      </c>
      <c r="E247" s="124">
        <f>SUM(E248,E250,E252)</f>
        <v>21831781</v>
      </c>
      <c r="F247" s="124">
        <f>SUM(F248,F250,F252)</f>
        <v>21831781</v>
      </c>
      <c r="G247" s="124">
        <f>SUM(G248,G250,G252)</f>
        <v>21831781</v>
      </c>
      <c r="H247" s="124">
        <f>SUM(H248,H250,H252)</f>
        <v>0</v>
      </c>
      <c r="I247" s="95">
        <f t="shared" si="25"/>
        <v>100</v>
      </c>
      <c r="J247" s="133"/>
    </row>
    <row r="248" spans="1:9" ht="12.75">
      <c r="A248" s="40">
        <v>758</v>
      </c>
      <c r="B248" s="40">
        <v>75801</v>
      </c>
      <c r="C248" s="40"/>
      <c r="D248" s="40" t="s">
        <v>191</v>
      </c>
      <c r="E248" s="41">
        <f>SUM(E249)</f>
        <v>11966153</v>
      </c>
      <c r="F248" s="41">
        <f>SUM(F249)</f>
        <v>11966153</v>
      </c>
      <c r="G248" s="41">
        <f>SUM(G249)</f>
        <v>11966153</v>
      </c>
      <c r="H248" s="41">
        <f>SUM(H249)</f>
        <v>0</v>
      </c>
      <c r="I248" s="52">
        <f t="shared" si="25"/>
        <v>100</v>
      </c>
    </row>
    <row r="249" spans="1:10" s="44" customFormat="1" ht="12.75">
      <c r="A249" s="36"/>
      <c r="B249" s="36"/>
      <c r="C249" s="36">
        <v>2920</v>
      </c>
      <c r="D249" s="36" t="s">
        <v>192</v>
      </c>
      <c r="E249" s="37">
        <f>11879796+104720+20000-46363+8000</f>
        <v>11966153</v>
      </c>
      <c r="F249" s="37">
        <f>12925443-959290</f>
        <v>11966153</v>
      </c>
      <c r="G249" s="37">
        <f>F249</f>
        <v>11966153</v>
      </c>
      <c r="H249" s="37"/>
      <c r="I249" s="52">
        <f t="shared" si="25"/>
        <v>100</v>
      </c>
      <c r="J249" s="43"/>
    </row>
    <row r="250" spans="1:9" ht="12.75">
      <c r="A250" s="40">
        <v>758</v>
      </c>
      <c r="B250" s="40">
        <v>75807</v>
      </c>
      <c r="C250" s="40"/>
      <c r="D250" s="40" t="s">
        <v>193</v>
      </c>
      <c r="E250" s="41">
        <f>SUM(E251)</f>
        <v>8130816</v>
      </c>
      <c r="F250" s="41">
        <f>SUM(F251)</f>
        <v>8130816</v>
      </c>
      <c r="G250" s="41">
        <f>SUM(G251)</f>
        <v>8130816</v>
      </c>
      <c r="H250" s="41">
        <f>SUM(H251)</f>
        <v>0</v>
      </c>
      <c r="I250" s="52">
        <f t="shared" si="25"/>
        <v>100</v>
      </c>
    </row>
    <row r="251" spans="1:10" s="44" customFormat="1" ht="12.75">
      <c r="A251" s="36"/>
      <c r="B251" s="36"/>
      <c r="C251" s="36">
        <v>2920</v>
      </c>
      <c r="D251" s="36" t="s">
        <v>194</v>
      </c>
      <c r="E251" s="37">
        <v>8130816</v>
      </c>
      <c r="F251" s="37">
        <v>8130816</v>
      </c>
      <c r="G251" s="37">
        <f>F251</f>
        <v>8130816</v>
      </c>
      <c r="H251" s="37"/>
      <c r="I251" s="52">
        <f t="shared" si="25"/>
        <v>100</v>
      </c>
      <c r="J251" s="43"/>
    </row>
    <row r="252" spans="1:9" ht="12.75">
      <c r="A252" s="40">
        <v>758</v>
      </c>
      <c r="B252" s="40">
        <v>75831</v>
      </c>
      <c r="C252" s="40"/>
      <c r="D252" s="40" t="s">
        <v>195</v>
      </c>
      <c r="E252" s="41">
        <f>SUM(E253)</f>
        <v>1734812</v>
      </c>
      <c r="F252" s="41">
        <f>SUM(F253)</f>
        <v>1734812</v>
      </c>
      <c r="G252" s="41">
        <f>SUM(G253)</f>
        <v>1734812</v>
      </c>
      <c r="H252" s="41">
        <f>SUM(H253)</f>
        <v>0</v>
      </c>
      <c r="I252" s="52">
        <f t="shared" si="25"/>
        <v>100</v>
      </c>
    </row>
    <row r="253" spans="1:10" s="44" customFormat="1" ht="12.75">
      <c r="A253" s="36"/>
      <c r="B253" s="36"/>
      <c r="C253" s="36">
        <v>2920</v>
      </c>
      <c r="D253" s="36" t="s">
        <v>194</v>
      </c>
      <c r="E253" s="37">
        <v>1734812</v>
      </c>
      <c r="F253" s="37">
        <v>1734812</v>
      </c>
      <c r="G253" s="37">
        <f>F253</f>
        <v>1734812</v>
      </c>
      <c r="H253" s="37"/>
      <c r="I253" s="52">
        <f t="shared" si="25"/>
        <v>100</v>
      </c>
      <c r="J253" s="133"/>
    </row>
    <row r="254" spans="1:10" ht="12.75">
      <c r="A254" s="69"/>
      <c r="B254" s="134"/>
      <c r="C254" s="71"/>
      <c r="D254" s="93" t="s">
        <v>196</v>
      </c>
      <c r="E254" s="135">
        <f>SUM(E12,E134,E191,E215,E225,E247)</f>
        <v>79786626.14</v>
      </c>
      <c r="F254" s="124">
        <f>SUM(F12,F134,F191,F215,F225,F247)</f>
        <v>76066696.03</v>
      </c>
      <c r="G254" s="124">
        <f>SUM(G12,G134,G191,G215,G225,G247)</f>
        <v>59404315.82</v>
      </c>
      <c r="H254" s="124">
        <f>SUM(H12,H134,H191,H215,H225,H247)</f>
        <v>16662380.209999999</v>
      </c>
      <c r="I254" s="136">
        <f t="shared" si="25"/>
        <v>95.33765207282644</v>
      </c>
      <c r="J254" s="35" t="s">
        <v>197</v>
      </c>
    </row>
    <row r="255" spans="1:10" ht="12.75">
      <c r="A255" s="77"/>
      <c r="B255" s="77"/>
      <c r="C255" s="77"/>
      <c r="D255" s="36" t="s">
        <v>198</v>
      </c>
      <c r="E255" s="37">
        <f>SUM(E256:E258)</f>
        <v>30341477.43</v>
      </c>
      <c r="F255" s="37">
        <f>SUM(F256:F258)</f>
        <v>25303032.26</v>
      </c>
      <c r="G255" s="37">
        <f>SUM(G256:G258)</f>
        <v>10756147.98</v>
      </c>
      <c r="H255" s="37">
        <f>SUM(H256:H258)</f>
        <v>14546884.28</v>
      </c>
      <c r="I255" s="52">
        <f t="shared" si="25"/>
        <v>83.39419963439796</v>
      </c>
      <c r="J255" s="35"/>
    </row>
    <row r="256" spans="1:10" ht="12.75">
      <c r="A256" s="77"/>
      <c r="B256" s="77"/>
      <c r="C256" s="77"/>
      <c r="D256" s="36" t="s">
        <v>199</v>
      </c>
      <c r="E256" s="37">
        <f>E134</f>
        <v>21668051</v>
      </c>
      <c r="F256" s="37">
        <f>F134</f>
        <v>16630409.07</v>
      </c>
      <c r="G256" s="37">
        <f>G134</f>
        <v>2083524.79</v>
      </c>
      <c r="H256" s="37">
        <f>H134</f>
        <v>14546884.28</v>
      </c>
      <c r="I256" s="52">
        <f t="shared" si="25"/>
        <v>76.75083038156039</v>
      </c>
      <c r="J256" s="35"/>
    </row>
    <row r="257" spans="1:10" ht="12.75">
      <c r="A257" s="77"/>
      <c r="B257" s="77"/>
      <c r="C257" s="77"/>
      <c r="D257" s="36" t="s">
        <v>200</v>
      </c>
      <c r="E257" s="37">
        <f>E225</f>
        <v>8653426.43</v>
      </c>
      <c r="F257" s="37">
        <f>F225</f>
        <v>8653560.290000001</v>
      </c>
      <c r="G257" s="37">
        <f>G225</f>
        <v>8653560.290000001</v>
      </c>
      <c r="H257" s="37">
        <f>H225</f>
        <v>0</v>
      </c>
      <c r="I257" s="52">
        <f t="shared" si="25"/>
        <v>100.0015469016936</v>
      </c>
      <c r="J257" s="35"/>
    </row>
    <row r="258" spans="1:10" ht="12.75">
      <c r="A258" s="77"/>
      <c r="B258" s="77"/>
      <c r="C258" s="77"/>
      <c r="D258" s="36" t="s">
        <v>201</v>
      </c>
      <c r="E258" s="37">
        <f>E215</f>
        <v>20000</v>
      </c>
      <c r="F258" s="37">
        <f>F215</f>
        <v>19062.9</v>
      </c>
      <c r="G258" s="37">
        <f>G215</f>
        <v>19062.9</v>
      </c>
      <c r="H258" s="37">
        <f>H215</f>
        <v>0</v>
      </c>
      <c r="I258" s="52">
        <f t="shared" si="25"/>
        <v>95.3145</v>
      </c>
      <c r="J258" s="35"/>
    </row>
    <row r="259" spans="1:10" ht="12.75">
      <c r="A259" s="77"/>
      <c r="B259" s="77"/>
      <c r="C259" s="77"/>
      <c r="D259" s="36" t="s">
        <v>202</v>
      </c>
      <c r="E259" s="37">
        <f>E191</f>
        <v>1016039.71</v>
      </c>
      <c r="F259" s="37">
        <f>F191</f>
        <v>904758.75</v>
      </c>
      <c r="G259" s="37">
        <f>G191</f>
        <v>904758.75</v>
      </c>
      <c r="H259" s="37">
        <f>H191</f>
        <v>0</v>
      </c>
      <c r="I259" s="52">
        <f t="shared" si="25"/>
        <v>89.0475776778449</v>
      </c>
      <c r="J259" s="35"/>
    </row>
    <row r="260" spans="1:7" ht="12.75">
      <c r="A260" s="77"/>
      <c r="B260" s="77"/>
      <c r="C260" s="77"/>
      <c r="D260" s="77"/>
      <c r="E260" s="35"/>
      <c r="F260" s="35"/>
      <c r="G260" s="35"/>
    </row>
    <row r="261" spans="1:7" ht="12.75">
      <c r="A261" s="77"/>
      <c r="B261" s="77"/>
      <c r="C261" s="77"/>
      <c r="D261" s="77"/>
      <c r="E261" s="35"/>
      <c r="F261" s="35"/>
      <c r="G261" s="35"/>
    </row>
    <row r="262" spans="1:9" ht="12.75">
      <c r="A262" s="77"/>
      <c r="B262" s="77"/>
      <c r="C262" s="77"/>
      <c r="D262" s="77"/>
      <c r="E262" s="35"/>
      <c r="F262" s="35"/>
      <c r="G262" s="35"/>
      <c r="I262" s="137"/>
    </row>
    <row r="263" spans="1:5" ht="12.75">
      <c r="A263" s="77"/>
      <c r="B263" s="77"/>
      <c r="C263" s="77"/>
      <c r="D263" s="77"/>
      <c r="E263" s="133"/>
    </row>
    <row r="264" spans="1:9" ht="12.75">
      <c r="A264" s="77"/>
      <c r="B264" s="77"/>
      <c r="C264" s="77"/>
      <c r="D264" s="138"/>
      <c r="E264" s="133"/>
      <c r="G264"/>
      <c r="H264"/>
      <c r="I264" s="137"/>
    </row>
    <row r="265" spans="1:9" ht="12.75">
      <c r="A265" s="77"/>
      <c r="B265" s="77"/>
      <c r="C265" s="77"/>
      <c r="D265" s="77"/>
      <c r="E265" s="137"/>
      <c r="F265" s="137"/>
      <c r="G265" s="137"/>
      <c r="H265" s="137"/>
      <c r="I265" s="139"/>
    </row>
    <row r="266" spans="1:9" ht="12.75">
      <c r="A266" s="77"/>
      <c r="B266" s="77"/>
      <c r="C266" s="77"/>
      <c r="D266" s="77"/>
      <c r="E266" s="35"/>
      <c r="F266" s="137"/>
      <c r="I266" s="137"/>
    </row>
    <row r="267" spans="1:4" ht="12.75">
      <c r="A267" s="77"/>
      <c r="B267" s="77"/>
      <c r="C267" s="77"/>
      <c r="D267" s="77"/>
    </row>
    <row r="268" spans="1:4" ht="12.75">
      <c r="A268" s="77"/>
      <c r="B268" s="77"/>
      <c r="C268" s="77"/>
      <c r="D268" s="77"/>
    </row>
    <row r="269" spans="1:4" ht="12.75">
      <c r="A269" s="77"/>
      <c r="B269" s="77"/>
      <c r="C269" s="77"/>
      <c r="D269" s="77"/>
    </row>
    <row r="270" spans="1:4" ht="12.75">
      <c r="A270" s="77"/>
      <c r="B270" s="77"/>
      <c r="C270" s="77"/>
      <c r="D270" s="77"/>
    </row>
    <row r="271" spans="1:4" ht="12.75">
      <c r="A271" s="77"/>
      <c r="B271" s="77"/>
      <c r="C271" s="77"/>
      <c r="D271" s="77"/>
    </row>
    <row r="272" spans="1:4" ht="12.75">
      <c r="A272" s="77"/>
      <c r="B272" s="77"/>
      <c r="C272" s="77"/>
      <c r="D272" s="77"/>
    </row>
    <row r="273" spans="1:4" ht="12.75">
      <c r="A273" s="77"/>
      <c r="B273" s="77"/>
      <c r="C273" s="77"/>
      <c r="D273" s="77"/>
    </row>
    <row r="274" spans="1:4" ht="12.75">
      <c r="A274" s="77"/>
      <c r="B274" s="77"/>
      <c r="C274" s="77"/>
      <c r="D274" s="77"/>
    </row>
    <row r="275" spans="1:4" ht="12.75">
      <c r="A275" s="77"/>
      <c r="B275" s="77"/>
      <c r="C275" s="77"/>
      <c r="D275" s="77"/>
    </row>
    <row r="276" spans="1:4" ht="12.75">
      <c r="A276" s="77"/>
      <c r="B276" s="77"/>
      <c r="C276" s="77"/>
      <c r="D276" s="77"/>
    </row>
    <row r="277" spans="1:4" ht="12.75">
      <c r="A277" s="77"/>
      <c r="B277" s="77"/>
      <c r="C277" s="77"/>
      <c r="D277" s="77"/>
    </row>
    <row r="278" spans="1:4" ht="12.75">
      <c r="A278" s="77"/>
      <c r="B278" s="77"/>
      <c r="C278" s="77"/>
      <c r="D278" s="77"/>
    </row>
    <row r="279" spans="1:4" ht="12.75">
      <c r="A279" s="77"/>
      <c r="B279" s="77"/>
      <c r="C279" s="77"/>
      <c r="D279" s="77"/>
    </row>
    <row r="280" spans="1:4" ht="12.75">
      <c r="A280" s="77"/>
      <c r="B280" s="77"/>
      <c r="C280" s="77"/>
      <c r="D280" s="77"/>
    </row>
    <row r="281" spans="1:4" ht="12.75">
      <c r="A281" s="77"/>
      <c r="B281" s="77"/>
      <c r="C281" s="77"/>
      <c r="D281" s="77"/>
    </row>
    <row r="282" spans="1:4" ht="12.75">
      <c r="A282" s="77"/>
      <c r="B282" s="77"/>
      <c r="C282" s="77"/>
      <c r="D282" s="77"/>
    </row>
    <row r="283" spans="1:4" ht="12.75">
      <c r="A283" s="77"/>
      <c r="B283" s="77"/>
      <c r="C283" s="77"/>
      <c r="D283" s="77"/>
    </row>
    <row r="284" spans="1:4" ht="12.75">
      <c r="A284" s="77"/>
      <c r="B284" s="77"/>
      <c r="C284" s="77"/>
      <c r="D284" s="77"/>
    </row>
    <row r="285" spans="1:4" ht="12.75">
      <c r="A285" s="77"/>
      <c r="B285" s="77"/>
      <c r="C285" s="77"/>
      <c r="D285" s="77"/>
    </row>
    <row r="286" spans="1:4" ht="12.75">
      <c r="A286" s="77"/>
      <c r="B286" s="77"/>
      <c r="C286" s="77"/>
      <c r="D286" s="77"/>
    </row>
    <row r="287" spans="1:4" ht="12.75">
      <c r="A287" s="77"/>
      <c r="B287" s="77"/>
      <c r="C287" s="77"/>
      <c r="D287" s="77"/>
    </row>
    <row r="288" spans="1:4" ht="12.75">
      <c r="A288" s="77"/>
      <c r="B288" s="77"/>
      <c r="C288" s="77"/>
      <c r="D288" s="77"/>
    </row>
    <row r="289" spans="1:4" ht="12.75">
      <c r="A289" s="77"/>
      <c r="B289" s="77"/>
      <c r="C289" s="77"/>
      <c r="D289" s="77"/>
    </row>
    <row r="290" spans="1:4" ht="12.75">
      <c r="A290" s="77"/>
      <c r="B290" s="77"/>
      <c r="C290" s="77"/>
      <c r="D290" s="77"/>
    </row>
    <row r="291" spans="1:4" ht="12.75">
      <c r="A291" s="77"/>
      <c r="B291" s="77"/>
      <c r="C291" s="77"/>
      <c r="D291" s="77"/>
    </row>
    <row r="292" spans="1:4" ht="12.75">
      <c r="A292" s="77"/>
      <c r="B292" s="77"/>
      <c r="C292" s="77"/>
      <c r="D292" s="77"/>
    </row>
    <row r="293" spans="1:4" ht="12.75">
      <c r="A293" s="77"/>
      <c r="B293" s="77"/>
      <c r="C293" s="77"/>
      <c r="D293" s="77"/>
    </row>
    <row r="294" spans="1:4" ht="12.75">
      <c r="A294" s="77"/>
      <c r="B294" s="77"/>
      <c r="C294" s="77"/>
      <c r="D294" s="77"/>
    </row>
    <row r="295" spans="1:4" ht="12.75">
      <c r="A295" s="77"/>
      <c r="B295" s="77"/>
      <c r="C295" s="77"/>
      <c r="D295" s="77"/>
    </row>
    <row r="296" spans="1:4" ht="12.75">
      <c r="A296" s="77"/>
      <c r="B296" s="77"/>
      <c r="C296" s="77"/>
      <c r="D296" s="77"/>
    </row>
    <row r="297" spans="1:4" ht="12.75">
      <c r="A297" s="77"/>
      <c r="B297" s="77"/>
      <c r="C297" s="77"/>
      <c r="D297" s="77"/>
    </row>
    <row r="298" spans="1:4" ht="12.75">
      <c r="A298" s="77"/>
      <c r="B298" s="77"/>
      <c r="C298" s="77"/>
      <c r="D298" s="77"/>
    </row>
    <row r="299" spans="1:4" ht="12.75">
      <c r="A299" s="77"/>
      <c r="B299" s="77"/>
      <c r="C299" s="77"/>
      <c r="D299" s="77"/>
    </row>
    <row r="300" spans="1:4" ht="12.75">
      <c r="A300" s="77"/>
      <c r="B300" s="77"/>
      <c r="C300" s="77"/>
      <c r="D300" s="77"/>
    </row>
    <row r="301" spans="1:4" ht="12.75">
      <c r="A301" s="77"/>
      <c r="B301" s="77"/>
      <c r="C301" s="77"/>
      <c r="D301" s="77"/>
    </row>
    <row r="302" spans="1:4" ht="12.75">
      <c r="A302" s="77"/>
      <c r="B302" s="77"/>
      <c r="C302" s="77"/>
      <c r="D302" s="77"/>
    </row>
    <row r="303" spans="1:4" ht="12.75">
      <c r="A303" s="77"/>
      <c r="B303" s="77"/>
      <c r="C303" s="77"/>
      <c r="D303" s="77"/>
    </row>
    <row r="304" spans="1:4" ht="12.75">
      <c r="A304" s="77"/>
      <c r="B304" s="77"/>
      <c r="C304" s="77"/>
      <c r="D304" s="77"/>
    </row>
  </sheetData>
  <sheetProtection selectLockedCells="1" selectUnlockedCells="1"/>
  <autoFilter ref="A8:E258"/>
  <mergeCells count="5">
    <mergeCell ref="A2:D2"/>
    <mergeCell ref="A6:D6"/>
    <mergeCell ref="A9:C9"/>
    <mergeCell ref="G9:H9"/>
    <mergeCell ref="A10:C10"/>
  </mergeCells>
  <printOptions/>
  <pageMargins left="0.31527777777777777" right="0.19652777777777777" top="0.19652777777777777" bottom="0.196527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Mikielski</cp:lastModifiedBy>
  <cp:lastPrinted>2011-03-25T09:56:22Z</cp:lastPrinted>
  <dcterms:created xsi:type="dcterms:W3CDTF">2008-02-19T12:10:14Z</dcterms:created>
  <dcterms:modified xsi:type="dcterms:W3CDTF">2011-03-29T09:56:22Z</dcterms:modified>
  <cp:category/>
  <cp:version/>
  <cp:contentType/>
  <cp:contentStatus/>
  <cp:revision>2</cp:revision>
</cp:coreProperties>
</file>