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0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uchwały'!$A$1:$D$36</definedName>
    <definedName name="_xlnm.Print_Area" localSheetId="6">'Ogółem Zmiany w paragrafach '!$A$1:$I$61</definedName>
    <definedName name="_xlnm.Print_Area" localSheetId="3">'Uchwała '!$A$1:$G$34</definedName>
    <definedName name="_xlnm.Print_Area" localSheetId="0">'zał1'!$A$1:$AA$50</definedName>
    <definedName name="_xlnm.Print_Area" localSheetId="1">'zał2'!$A$1:$Z$60</definedName>
    <definedName name="_xlnm.Print_Area" localSheetId="2">'zał3'!$C$1:$L$86</definedName>
    <definedName name="Excel_BuiltIn_Print_Area_3_1">'zał3'!$A$1:$L$91</definedName>
    <definedName name="Excel_BuiltIn_Print_Area_6_1">'Ogółem Zmiany w paragrafach '!$A$1:$K$61</definedName>
    <definedName name="Excel_BuiltIn_Print_Area_1_1">'zał1'!$A$1:$Z$50</definedName>
    <definedName name="Excel_BuiltIn_Print_Area_6_1_1">'Ogółem Zmiany w paragrafach '!$A$1:$J$61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<sst xmlns="http://schemas.openxmlformats.org/spreadsheetml/2006/main" count="654" uniqueCount="461">
  <si>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</si>
  <si>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</si>
  <si>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</si>
  <si>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</si>
  <si>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</si>
  <si>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</si>
  <si>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</si>
  <si>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</si>
  <si>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</si>
  <si>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</si>
  <si>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</si>
  <si>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</si>
  <si>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</si>
  <si>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</si>
  <si>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</si>
  <si>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</si>
  <si>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</si>
  <si>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</si>
  <si>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</si>
  <si>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</si>
  <si>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</si>
  <si>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</si>
  <si>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</si>
  <si>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</si>
  <si>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</si>
  <si>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</si>
  <si>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</si>
  <si>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</si>
  <si>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</si>
  <si>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</si>
  <si>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</si>
  <si>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</si>
  <si>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</si>
  <si>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</si>
  <si>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</si>
  <si>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</si>
  <si>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</si>
  <si>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</si>
  <si>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</si>
  <si>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</si>
  <si>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</si>
  <si>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</si>
  <si>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</si>
  <si>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</si>
  <si>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</si>
  <si>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</si>
  <si>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</si>
  <si>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</si>
  <si>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</si>
  <si>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</si>
  <si>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</si>
  <si>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</si>
  <si>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</si>
  <si>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</si>
  <si>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</si>
  <si>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</si>
  <si>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</si>
  <si>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</si>
  <si>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</si>
  <si>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</si>
  <si>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</si>
  <si>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</si>
  <si>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</si>
  <si>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</si>
  <si>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</si>
  <si>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</si>
  <si>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</si>
  <si>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</si>
  <si>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</si>
  <si>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</si>
  <si>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</si>
  <si>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</si>
  <si>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</si>
  <si>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</si>
  <si>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</si>
  <si>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</si>
  <si>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</si>
  <si>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</si>
  <si>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</si>
  <si>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</si>
  <si>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</si>
  <si>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</si>
  <si>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</si>
  <si>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</si>
  <si>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</si>
  <si>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</si>
  <si>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</si>
  <si>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</si>
  <si>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</si>
  <si>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</si>
  <si>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</si>
  <si>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</si>
  <si>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</si>
  <si>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</si>
  <si>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</si>
  <si>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</si>
  <si>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</si>
  <si>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</si>
  <si>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</si>
  <si>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</si>
  <si>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</si>
  <si>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</si>
  <si>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</si>
  <si>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</si>
  <si>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</si>
  <si>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</si>
  <si>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</si>
  <si>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</si>
  <si>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</si>
  <si>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</si>
  <si>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</si>
  <si>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</si>
  <si>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</si>
  <si>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</si>
  <si>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</si>
  <si>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</si>
  <si>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</si>
  <si>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</si>
  <si>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</si>
  <si>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</si>
  <si>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</si>
  <si>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</si>
  <si>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</si>
  <si>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</si>
  <si>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</si>
  <si>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</si>
  <si>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</si>
  <si>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</si>
  <si>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</si>
  <si>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</si>
  <si>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</si>
  <si>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</si>
  <si>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</si>
  <si>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</si>
  <si>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</si>
  <si>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</si>
  <si>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</si>
  <si>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</si>
  <si>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</si>
  <si>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</si>
  <si>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</si>
  <si>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</si>
  <si>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</si>
  <si>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</si>
  <si>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</si>
  <si>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</si>
  <si>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</si>
  <si>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</si>
  <si>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</si>
  <si>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</si>
  <si>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Uchwały Nr </t>
  </si>
  <si>
    <t>XXIV/145/2012</t>
  </si>
  <si>
    <t>Rady miejskiej w Gołdapi</t>
  </si>
  <si>
    <t>z dnia  12 lipca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</si>
  <si>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</si>
  <si>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</si>
  <si>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</si>
  <si>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</si>
  <si>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</si>
  <si>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</si>
  <si>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</si>
  <si>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</si>
  <si>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</si>
  <si>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</si>
  <si>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</si>
  <si>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</si>
  <si>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</si>
  <si>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</si>
  <si>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</si>
  <si>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</si>
  <si>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</si>
  <si>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</si>
  <si>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</si>
  <si>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</si>
  <si>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</si>
  <si>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</si>
  <si>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</si>
  <si>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</si>
  <si>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</si>
  <si>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</si>
  <si>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</si>
  <si>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</si>
  <si>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</si>
  <si>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</si>
  <si>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</si>
  <si>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</si>
  <si>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</si>
  <si>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</si>
  <si>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</si>
  <si>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</si>
  <si>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</si>
  <si>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</si>
  <si>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</si>
  <si>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</si>
  <si>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</si>
  <si>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</si>
  <si>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</si>
  <si>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</si>
  <si>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</si>
  <si>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</si>
  <si>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</si>
  <si>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</si>
  <si>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</si>
  <si>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</si>
  <si>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</si>
  <si>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</si>
  <si>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</si>
  <si>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</si>
  <si>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</si>
  <si>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</si>
  <si>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</si>
  <si>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</si>
  <si>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</si>
  <si>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</si>
  <si>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</si>
  <si>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</si>
  <si>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</si>
  <si>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</si>
  <si>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uchwały</t>
  </si>
  <si>
    <t>Zmiany planu dochdów</t>
  </si>
  <si>
    <t>Zmiany planu wydatków</t>
  </si>
  <si>
    <r>
      <t>010 –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Rolnictwo i łowiectwo</t>
    </r>
  </si>
  <si>
    <r>
      <t xml:space="preserve">- </t>
    </r>
    <r>
      <rPr>
        <sz val="11"/>
        <rFont val="Times New Roman"/>
        <family val="1"/>
      </rPr>
      <t>Zwiększenie planu wydatków na budowę wodociagów wiejskich Pogorzel-Kozaki, Galwiecie-Botkuny, Grabowo-Kolonia</t>
    </r>
  </si>
  <si>
    <r>
      <t>600 –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Transport i łączność</t>
    </r>
  </si>
  <si>
    <r>
      <t xml:space="preserve">- </t>
    </r>
    <r>
      <rPr>
        <sz val="11"/>
        <rFont val="Times New Roman"/>
        <family val="1"/>
      </rPr>
      <t>Zwiększenie planu wydatków na modernizację ulicy Sosnowej i Cisowej</t>
    </r>
  </si>
  <si>
    <t>700 – Gospodarka mieszkaniowa</t>
  </si>
  <si>
    <t>- Zwiększenie planu wydatków na wykonanie odwiertu solankowego i budowę teżni</t>
  </si>
  <si>
    <t>- Zwiększenie planu wydatków na budowę cmentarza kommunalnego,</t>
  </si>
  <si>
    <t>- Zwiększenie planu wydatków na odnowę wsi Galwiecie</t>
  </si>
  <si>
    <t xml:space="preserve">- Zmniejszenie planu wydatków na zakup usług pozostałych, przesuniecie do działu 750 </t>
  </si>
  <si>
    <t>- Wprowadzenie planu wydatków na przebudowę SP 2 w celu ulokowania w budynku szkolnym Środowiskowego Domu Samopomocy</t>
  </si>
  <si>
    <t>750 – Administracja publiczna</t>
  </si>
  <si>
    <t>- Zwiększenie planu wydatków na zakup oprogramowania do wydziału GPO</t>
  </si>
  <si>
    <t>754 – Bezpieczeństwo publiczne i ochrona przeciwpożarowa</t>
  </si>
  <si>
    <t>- prezsuniecie planu wydatków na delegacje służbowe + - 200 zł</t>
  </si>
  <si>
    <t>758 – Różne rozliczenia</t>
  </si>
  <si>
    <t>- Zwiększenie planu dochodów pochodzących z wydatków nie wygasajacych</t>
  </si>
  <si>
    <t>801 – Oświata i wychowanie</t>
  </si>
  <si>
    <t>- prezsuniecie planu wydatków na dowożenie uczniów + - 756 zł</t>
  </si>
  <si>
    <t>900 Gospodarka komunalna i ochrona środowiska</t>
  </si>
  <si>
    <t>- Zwiększenie planu wydatków na modernizację ujęcia wodnego, MASTERPLAN II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</si>
  <si>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</si>
  <si>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</si>
  <si>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</si>
  <si>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</si>
  <si>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</si>
  <si>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</si>
  <si>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</si>
  <si>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Uchwały ............../2012 z dnia..................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</si>
  <si>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</si>
  <si>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</si>
  <si>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</si>
  <si>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</si>
  <si>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</si>
  <si>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</si>
  <si>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</si>
  <si>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</si>
  <si>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</si>
  <si>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</si>
  <si>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75814</t>
  </si>
  <si>
    <t>0970</t>
  </si>
  <si>
    <t>01010</t>
  </si>
  <si>
    <t>60016</t>
  </si>
  <si>
    <t>70005</t>
  </si>
  <si>
    <t>71035</t>
  </si>
  <si>
    <t>90095</t>
  </si>
  <si>
    <t>75023</t>
  </si>
  <si>
    <t>75416</t>
  </si>
  <si>
    <t>80113</t>
  </si>
  <si>
    <t>ZS Grabowo</t>
  </si>
  <si>
    <t>dochody i wydatki jednostek oświatowych</t>
  </si>
  <si>
    <t>85401</t>
  </si>
  <si>
    <t>0920</t>
  </si>
  <si>
    <t>nie zmieniac w dochodach i wydatkach budżetu, tylko zał nr 10</t>
  </si>
  <si>
    <t>0960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</si>
  <si>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</si>
  <si>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</si>
  <si>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</si>
  <si>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</si>
  <si>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</si>
  <si>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</si>
  <si>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</si>
  <si>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</si>
  <si>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</si>
  <si>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</si>
  <si>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</si>
  <si>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</si>
  <si>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</si>
  <si>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dotacje</t>
  </si>
  <si>
    <t>Rozdz. 75022-23</t>
  </si>
  <si>
    <t xml:space="preserve">zadania rządowe </t>
  </si>
  <si>
    <t xml:space="preserve">umowy miedzy jst </t>
  </si>
  <si>
    <t>doch i wyd jed. Ośw</t>
  </si>
  <si>
    <t>MINUS MAJATKOWE!!!!!!!!!!!!!!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</si>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</sst>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54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0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8" fillId="0" borderId="1" xfId="0" applyFont="1" applyBorder="1" applyAlignment="1">
      <alignment wrapText="1"/>
    </xf>
    <xf numFmtId="171" fontId="39" fillId="0" borderId="1" xfId="0" applyNumberFormat="1" applyFont="1" applyBorder="1" applyAlignment="1">
      <alignment/>
    </xf>
    <xf numFmtId="164" fontId="36" fillId="2" borderId="1" xfId="0" applyFont="1" applyFill="1" applyBorder="1" applyAlignment="1">
      <alignment horizontal="center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72" fontId="0" fillId="5" borderId="1" xfId="0" applyNumberFormat="1" applyFont="1" applyFill="1" applyBorder="1" applyAlignment="1">
      <alignment horizontal="right"/>
    </xf>
    <xf numFmtId="166" fontId="0" fillId="5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72" fontId="0" fillId="3" borderId="1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horizontal="right" wrapText="1"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43" fillId="0" borderId="3" xfId="0" applyFont="1" applyBorder="1" applyAlignment="1">
      <alignment/>
    </xf>
    <xf numFmtId="164" fontId="43" fillId="0" borderId="3" xfId="0" applyFont="1" applyFill="1" applyBorder="1" applyAlignment="1">
      <alignment/>
    </xf>
    <xf numFmtId="166" fontId="43" fillId="0" borderId="3" xfId="0" applyNumberFormat="1" applyFont="1" applyFill="1" applyBorder="1" applyAlignment="1">
      <alignment/>
    </xf>
    <xf numFmtId="164" fontId="43" fillId="2" borderId="3" xfId="0" applyFont="1" applyFill="1" applyBorder="1" applyAlignment="1">
      <alignment/>
    </xf>
    <xf numFmtId="164" fontId="43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3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44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6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6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5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7" fillId="2" borderId="1" xfId="0" applyFont="1" applyFill="1" applyBorder="1" applyAlignment="1">
      <alignment vertical="center"/>
    </xf>
    <xf numFmtId="164" fontId="47" fillId="2" borderId="1" xfId="0" applyFont="1" applyFill="1" applyBorder="1" applyAlignment="1">
      <alignment horizontal="center" vertical="center"/>
    </xf>
    <xf numFmtId="164" fontId="47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49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6" fillId="0" borderId="0" xfId="0" applyFont="1" applyBorder="1" applyAlignment="1">
      <alignment horizontal="left" wrapText="1"/>
    </xf>
    <xf numFmtId="164" fontId="47" fillId="0" borderId="0" xfId="0" applyFont="1" applyFill="1" applyAlignment="1">
      <alignment vertical="center"/>
    </xf>
    <xf numFmtId="164" fontId="47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0" fillId="2" borderId="1" xfId="0" applyFont="1" applyFill="1" applyBorder="1" applyAlignment="1">
      <alignment horizontal="center" vertical="center"/>
    </xf>
    <xf numFmtId="164" fontId="50" fillId="2" borderId="1" xfId="0" applyFont="1" applyFill="1" applyBorder="1" applyAlignment="1">
      <alignment horizontal="center" vertical="center" wrapText="1"/>
    </xf>
    <xf numFmtId="164" fontId="47" fillId="0" borderId="1" xfId="0" applyFont="1" applyBorder="1" applyAlignment="1">
      <alignment horizontal="center" vertical="top"/>
    </xf>
    <xf numFmtId="164" fontId="51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1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5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7" borderId="1" xfId="0" applyFont="1" applyFill="1" applyBorder="1" applyAlignment="1" applyProtection="1">
      <alignment vertical="center" wrapText="1"/>
      <protection/>
    </xf>
    <xf numFmtId="166" fontId="33" fillId="7" borderId="1" xfId="0" applyNumberFormat="1" applyFont="1" applyFill="1" applyBorder="1" applyAlignment="1" applyProtection="1">
      <alignment vertical="center"/>
      <protection/>
    </xf>
    <xf numFmtId="164" fontId="0" fillId="7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7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7" borderId="1" xfId="0" applyNumberFormat="1" applyFont="1" applyFill="1" applyBorder="1" applyAlignment="1" applyProtection="1">
      <alignment vertical="center"/>
      <protection locked="0"/>
    </xf>
    <xf numFmtId="175" fontId="31" fillId="7" borderId="1" xfId="0" applyNumberFormat="1" applyFont="1" applyFill="1" applyBorder="1" applyAlignment="1" applyProtection="1">
      <alignment vertical="center"/>
      <protection locked="0"/>
    </xf>
    <xf numFmtId="166" fontId="53" fillId="7" borderId="1" xfId="0" applyNumberFormat="1" applyFont="1" applyFill="1" applyBorder="1" applyAlignment="1" applyProtection="1">
      <alignment vertical="center"/>
      <protection/>
    </xf>
    <xf numFmtId="166" fontId="0" fillId="7" borderId="1" xfId="0" applyNumberFormat="1" applyFont="1" applyFill="1" applyBorder="1" applyAlignment="1" applyProtection="1">
      <alignment vertical="center"/>
      <protection/>
    </xf>
    <xf numFmtId="167" fontId="3" fillId="7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7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K1">
      <selection activeCell="G14" sqref="G14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Uchwały Nr </v>
      </c>
      <c r="Z2" s="5" t="str">
        <f>zał3!K2</f>
        <v>XXIV/145/2012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Rady miejskiej w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 12 lipca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89868856.13</v>
      </c>
      <c r="H8" s="14">
        <f>SUM(H9:H10)</f>
        <v>70053827.02903</v>
      </c>
      <c r="I8" s="14">
        <f>SUM(I9:I10)</f>
        <v>67473134.46292993</v>
      </c>
      <c r="J8" s="14">
        <f>SUM(J9:J10)</f>
        <v>69561160.94728076</v>
      </c>
      <c r="K8" s="14">
        <f>SUM(K9:K10)</f>
        <v>71713807.03212646</v>
      </c>
      <c r="L8" s="14">
        <f>SUM(L9:L10)</f>
        <v>73933072.64846678</v>
      </c>
      <c r="M8" s="14">
        <f>SUM(M9:M10)</f>
        <v>76221019.62686399</v>
      </c>
      <c r="N8" s="14">
        <f>SUM(N9:N10)</f>
        <v>78579773.61338034</v>
      </c>
      <c r="O8" s="14">
        <f>SUM(O9:O10)</f>
        <v>81011526.04482122</v>
      </c>
      <c r="P8" s="14">
        <f>SUM(P9:P10)</f>
        <v>83518536.18511955</v>
      </c>
      <c r="Q8" s="14">
        <f>SUM(Q9:Q10)</f>
        <v>86103133.22475438</v>
      </c>
      <c r="R8" s="14">
        <f>SUM(R9:R10)</f>
        <v>88767718.44515477</v>
      </c>
      <c r="S8" s="14">
        <f>SUM(S9:S10)</f>
        <v>91514767.45010057</v>
      </c>
      <c r="T8" s="14">
        <f>SUM(T9:T10)</f>
        <v>94346832.46619408</v>
      </c>
      <c r="U8" s="14">
        <f>SUM(U9:U10)</f>
        <v>97266544.71454069</v>
      </c>
      <c r="V8" s="14">
        <f>SUM(V9:V10)</f>
        <v>100276616.85584289</v>
      </c>
      <c r="W8" s="14">
        <f>SUM(W9:W10)</f>
        <v>103379845.51118</v>
      </c>
      <c r="X8" s="14">
        <f>SUM(X9:X10)</f>
        <v>106579113.86081672</v>
      </c>
      <c r="Y8" s="14">
        <f>SUM(Y9:Y10)</f>
        <v>109877394.3234559</v>
      </c>
      <c r="Z8" s="14">
        <f>SUM(Z9:Z10)</f>
        <v>113277751.31842552</v>
      </c>
      <c r="AA8" s="14">
        <f>SUM(AA9:AA10)</f>
        <v>116783344.11336747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60051545.13</v>
      </c>
      <c r="H9" s="18">
        <f>zał2!G9</f>
        <v>61913143.02903</v>
      </c>
      <c r="I9" s="18">
        <f>zał2!H9</f>
        <v>63832450.462929934</v>
      </c>
      <c r="J9" s="18">
        <f>zał2!I9</f>
        <v>65811256.42728076</v>
      </c>
      <c r="K9" s="18">
        <f>zał2!J9</f>
        <v>67851405.37652646</v>
      </c>
      <c r="L9" s="18">
        <f>zał2!K9</f>
        <v>69954798.94319879</v>
      </c>
      <c r="M9" s="18">
        <f>zał2!L9</f>
        <v>72123397.71043795</v>
      </c>
      <c r="N9" s="18">
        <f>zał2!M9</f>
        <v>74359223.03946152</v>
      </c>
      <c r="O9" s="18">
        <f>zał2!N9</f>
        <v>76664358.95368484</v>
      </c>
      <c r="P9" s="18">
        <f>zał2!O9</f>
        <v>79040954.08124907</v>
      </c>
      <c r="Q9" s="18">
        <f>zał2!P9</f>
        <v>81491223.65776779</v>
      </c>
      <c r="R9" s="18">
        <f>zał2!Q9</f>
        <v>84017451.59115858</v>
      </c>
      <c r="S9" s="18">
        <f>zał2!R9</f>
        <v>86621992.5904845</v>
      </c>
      <c r="T9" s="18">
        <f>zał2!S9</f>
        <v>89307274.36078952</v>
      </c>
      <c r="U9" s="18">
        <f>zał2!T9</f>
        <v>92075799.865974</v>
      </c>
      <c r="V9" s="18">
        <f>zał2!U9</f>
        <v>94930149.66181919</v>
      </c>
      <c r="W9" s="18">
        <f>zał2!V9</f>
        <v>97872984.30133559</v>
      </c>
      <c r="X9" s="18">
        <f>zał2!W9</f>
        <v>100907046.81467699</v>
      </c>
      <c r="Y9" s="18">
        <f>zał2!X9</f>
        <v>104035165.26593198</v>
      </c>
      <c r="Z9" s="18">
        <f>zał2!Y9</f>
        <v>107260255.38917588</v>
      </c>
      <c r="AA9" s="18">
        <f>zał2!Z9</f>
        <v>110585323.30624034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29817311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5910000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36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48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57968454.61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25529221.01+960</f>
        <v>25530181.01</v>
      </c>
      <c r="H14" s="18">
        <f>SUM(G14+0.03*G14)</f>
        <v>26296086.440300003</v>
      </c>
      <c r="I14" s="18">
        <f>SUM(H14+0.03*H14)</f>
        <v>27084969.033509</v>
      </c>
      <c r="J14" s="18">
        <f>SUM(I14+0.03*I14)</f>
        <v>27897518.10451427</v>
      </c>
      <c r="K14" s="18">
        <f>SUM(J14+0.03*J14)</f>
        <v>28734443.647649698</v>
      </c>
      <c r="L14" s="18">
        <f>SUM(K14+0.03*K14)</f>
        <v>29596476.957079187</v>
      </c>
      <c r="M14" s="18">
        <f>SUM(L14+0.03*L14)</f>
        <v>30484371.26579156</v>
      </c>
      <c r="N14" s="18">
        <f>SUM(M14+0.03*M14)</f>
        <v>31398902.40376531</v>
      </c>
      <c r="O14" s="18">
        <f>SUM(N14+0.03*N14)</f>
        <v>32340869.47587827</v>
      </c>
      <c r="P14" s="18">
        <f>SUM(O14+0.03*O14)</f>
        <v>33311095.560154617</v>
      </c>
      <c r="Q14" s="18">
        <f>SUM(P14+0.03*P14)</f>
        <v>34310428.426959254</v>
      </c>
      <c r="R14" s="18">
        <f>SUM(Q14+0.03*Q14)</f>
        <v>35339741.279768035</v>
      </c>
      <c r="S14" s="18">
        <f>SUM(R14+0.03*R14)</f>
        <v>36399933.51816107</v>
      </c>
      <c r="T14" s="18">
        <f>SUM(S14+0.03*S14)</f>
        <v>37491931.52370591</v>
      </c>
      <c r="U14" s="18">
        <f>SUM(T14+0.03*T14)</f>
        <v>38616689.46941709</v>
      </c>
      <c r="V14" s="18">
        <f>SUM(U14+0.03*U14)</f>
        <v>39775190.1534996</v>
      </c>
      <c r="W14" s="18">
        <f>SUM(V14+0.03*V14)</f>
        <v>40968445.858104594</v>
      </c>
      <c r="X14" s="18">
        <f>SUM(W14+0.03*W14)</f>
        <v>42197499.23384773</v>
      </c>
      <c r="Y14" s="18">
        <f>SUM(X14+0.03*X14)</f>
        <v>43463424.21086316</v>
      </c>
      <c r="Z14" s="18">
        <f>SUM(Y14+0.03*Y14)</f>
        <v>44767326.93718905</v>
      </c>
      <c r="AA14" s="18">
        <f>SUM(Z14+0.03*Z14)</f>
        <v>46110346.74530472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</f>
        <v>4428160</v>
      </c>
      <c r="H15" s="18">
        <f>SUM(G15+0.03*G15)</f>
        <v>4561004.8</v>
      </c>
      <c r="I15" s="18">
        <f>SUM(H15+0.03*H15)</f>
        <v>4697834.944</v>
      </c>
      <c r="J15" s="18">
        <f>SUM(I15+0.03*I15)</f>
        <v>4838769.99232</v>
      </c>
      <c r="K15" s="18">
        <f>SUM(J15+0.03*J15)</f>
        <v>4983933.0920896</v>
      </c>
      <c r="L15" s="18">
        <f>SUM(K15+0.03*K15)</f>
        <v>5133451.084852288</v>
      </c>
      <c r="M15" s="18">
        <f>SUM(L15+0.03*L15)</f>
        <v>5287454.617397856</v>
      </c>
      <c r="N15" s="18">
        <f>SUM(M15+0.03*M15)</f>
        <v>5446078.255919792</v>
      </c>
      <c r="O15" s="18">
        <f>SUM(N15+0.03*N15)</f>
        <v>5609460.603597386</v>
      </c>
      <c r="P15" s="18">
        <f>SUM(O15+0.03*O15)</f>
        <v>5777744.421705307</v>
      </c>
      <c r="Q15" s="18">
        <f>SUM(P15+0.03*P15)</f>
        <v>5951076.754356466</v>
      </c>
      <c r="R15" s="18">
        <f>SUM(Q15+0.03*Q15)</f>
        <v>6129609.05698716</v>
      </c>
      <c r="S15" s="18">
        <f>SUM(R15+0.03*R15)</f>
        <v>6313497.328696774</v>
      </c>
      <c r="T15" s="18">
        <f>SUM(S15+0.03*S15)</f>
        <v>6502902.2485576775</v>
      </c>
      <c r="U15" s="18">
        <f>SUM(T15+0.03*T15)</f>
        <v>6697989.316014408</v>
      </c>
      <c r="V15" s="18">
        <f>SUM(U15+0.03*U15)</f>
        <v>6898928.995494841</v>
      </c>
      <c r="W15" s="18">
        <f>SUM(V15+0.03*V15)</f>
        <v>7105896.865359686</v>
      </c>
      <c r="X15" s="18">
        <f>SUM(W15+0.03*W15)</f>
        <v>7319073.771320477</v>
      </c>
      <c r="Y15" s="18">
        <f>SUM(X15+0.03*X15)</f>
        <v>7538645.984460091</v>
      </c>
      <c r="Z15" s="18">
        <f>SUM(Y15+0.03*Y15)</f>
        <v>7764805.363993894</v>
      </c>
      <c r="AA15" s="18">
        <f>SUM(Z15+0.03*Z15)</f>
        <v>7997749.5249137115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24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24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1861833.32</v>
      </c>
      <c r="G18" s="18">
        <f>zał3!H12</f>
        <v>1500035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24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31900401.519999996</v>
      </c>
      <c r="H19" s="14">
        <f>SUM(H8-H13)</f>
        <v>21166865.104959995</v>
      </c>
      <c r="I19" s="14">
        <f>SUM(I8-I13)</f>
        <v>16703883.964789934</v>
      </c>
      <c r="J19" s="14">
        <f>SUM(J8-J13)</f>
        <v>17007803.745070763</v>
      </c>
      <c r="K19" s="14">
        <f>SUM(K8-K13)</f>
        <v>17329035.256746456</v>
      </c>
      <c r="L19" s="14">
        <f>SUM(L8-L13)</f>
        <v>17668159.194743775</v>
      </c>
      <c r="M19" s="14">
        <f>SUM(M8-M13)</f>
        <v>18025775.576469794</v>
      </c>
      <c r="N19" s="14">
        <f>SUM(N8-N13)</f>
        <v>18402503.84043692</v>
      </c>
      <c r="O19" s="14">
        <f>SUM(O8-O13)</f>
        <v>18859882.31247419</v>
      </c>
      <c r="P19" s="14">
        <f>SUM(P8-P13)</f>
        <v>19430524.431010917</v>
      </c>
      <c r="Q19" s="14">
        <f>SUM(Q8-Q13)</f>
        <v>20022265.379141383</v>
      </c>
      <c r="R19" s="14">
        <f>SUM(R8-R13)</f>
        <v>20635811.79620239</v>
      </c>
      <c r="S19" s="14">
        <f>SUM(S8-S13)</f>
        <v>21271893.804618716</v>
      </c>
      <c r="T19" s="14">
        <f>SUM(T8-T13)</f>
        <v>21931265.785196975</v>
      </c>
      <c r="U19" s="14">
        <f>SUM(U8-U13)</f>
        <v>22614707.17787297</v>
      </c>
      <c r="V19" s="14">
        <f>SUM(V8-V13)</f>
        <v>23323023.30874455</v>
      </c>
      <c r="W19" s="14">
        <f>SUM(W8-W13)</f>
        <v>24057046.244248196</v>
      </c>
      <c r="X19" s="14">
        <f>SUM(X8-X13)</f>
        <v>24817635.67336656</v>
      </c>
      <c r="Y19" s="14">
        <f>SUM(Y8-Y13)</f>
        <v>25605679.818781942</v>
      </c>
      <c r="Z19" s="14">
        <f>SUM(Z8-Z13)</f>
        <v>26422095.657921135</v>
      </c>
      <c r="AA19" s="14">
        <f>SUM(AA8-AA13)</f>
        <v>27296143.654867858</v>
      </c>
    </row>
    <row r="20" spans="1:27" ht="24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14822300.029029995</v>
      </c>
      <c r="J20" s="18">
        <f>J62</f>
        <v>13158835.462929934</v>
      </c>
      <c r="K20" s="18">
        <f>K62</f>
        <v>13669932.977280766</v>
      </c>
      <c r="L20" s="18">
        <f>L62</f>
        <v>14123342.223026454</v>
      </c>
      <c r="M20" s="18">
        <f>M62</f>
        <v>14592393.895093776</v>
      </c>
      <c r="N20" s="18">
        <f>N62</f>
        <v>15077620.510889791</v>
      </c>
      <c r="O20" s="18">
        <f>O62</f>
        <v>15579572.523926921</v>
      </c>
      <c r="P20" s="18">
        <f>P62</f>
        <v>16098818.922684193</v>
      </c>
      <c r="Q20" s="18">
        <f>Q62</f>
        <v>16635947.849318415</v>
      </c>
      <c r="R20" s="18">
        <f>R62</f>
        <v>17191567.238879204</v>
      </c>
      <c r="S20" s="18">
        <f>S62</f>
        <v>17766305.47970335</v>
      </c>
      <c r="T20" s="18">
        <f>T62</f>
        <v>18360812.095685616</v>
      </c>
      <c r="U20" s="18">
        <f>U62</f>
        <v>18975758.451146662</v>
      </c>
      <c r="V20" s="18">
        <f>V62</f>
        <v>19611838.47904186</v>
      </c>
      <c r="W20" s="18">
        <f>W62</f>
        <v>20269769.433279097</v>
      </c>
      <c r="X20" s="18">
        <f>X62</f>
        <v>20950292.665939286</v>
      </c>
      <c r="Y20" s="18">
        <f>Y62</f>
        <v>21654174.430218786</v>
      </c>
      <c r="Z20" s="18">
        <f>Z62</f>
        <v>22382206.70994003</v>
      </c>
      <c r="AA20" s="18">
        <f>AA62</f>
        <v>23135208.07650417</v>
      </c>
    </row>
    <row r="21" spans="1:27" ht="36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24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24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32611479.519999996</v>
      </c>
      <c r="H23" s="14">
        <f>SUM(H19+H20+H22)</f>
        <v>21916865.104959995</v>
      </c>
      <c r="I23" s="14">
        <f>SUM(I19+I20+I22)</f>
        <v>31526183.99381993</v>
      </c>
      <c r="J23" s="14">
        <f>SUM(J19+J20+J22)</f>
        <v>30166639.208000697</v>
      </c>
      <c r="K23" s="14">
        <f>SUM(K19+K20+K22)</f>
        <v>30998968.23402722</v>
      </c>
      <c r="L23" s="14">
        <f>SUM(L19+L20+L22)</f>
        <v>31791501.41777023</v>
      </c>
      <c r="M23" s="14">
        <f>SUM(M19+M20+M22)</f>
        <v>32618169.47156357</v>
      </c>
      <c r="N23" s="14">
        <f>SUM(N19+N20+N22)</f>
        <v>33480124.35132671</v>
      </c>
      <c r="O23" s="14">
        <f>SUM(O19+O20+O22)</f>
        <v>34439454.83640111</v>
      </c>
      <c r="P23" s="14">
        <f>SUM(P19+P20+P22)</f>
        <v>35529343.35369511</v>
      </c>
      <c r="Q23" s="14">
        <f>SUM(Q19+Q20+Q22)</f>
        <v>36658213.2284598</v>
      </c>
      <c r="R23" s="14">
        <f>SUM(R19+R20+R22)</f>
        <v>37827379.035081595</v>
      </c>
      <c r="S23" s="14">
        <f>SUM(S19+S20+S22)</f>
        <v>39038199.28432207</v>
      </c>
      <c r="T23" s="14">
        <f>SUM(T19+T20+T22)</f>
        <v>40292077.88088259</v>
      </c>
      <c r="U23" s="14">
        <f>SUM(U19+U20+U22)</f>
        <v>41590465.62901963</v>
      </c>
      <c r="V23" s="14">
        <f>SUM(V19+V20+V22)</f>
        <v>42934861.78778641</v>
      </c>
      <c r="W23" s="14">
        <f>SUM(W19+W20+W22)</f>
        <v>44326815.67752729</v>
      </c>
      <c r="X23" s="14">
        <f>SUM(X19+X20+X22)</f>
        <v>45767928.33930585</v>
      </c>
      <c r="Y23" s="14">
        <f>SUM(Y19+Y20+Y22)</f>
        <v>47259854.24900073</v>
      </c>
      <c r="Z23" s="14">
        <f>SUM(Z19+Z20+Z22)</f>
        <v>48804302.36786117</v>
      </c>
      <c r="AA23" s="14">
        <f>SUM(AA19+AA20+AA22)</f>
        <v>50431351.73137203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24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24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22930338.629999995</v>
      </c>
      <c r="H28" s="14">
        <f>SUM(H23-H24-H27)</f>
        <v>13915701.594529994</v>
      </c>
      <c r="I28" s="14">
        <f>SUM(I23-I24-I27)</f>
        <v>23876309.25745993</v>
      </c>
      <c r="J28" s="14">
        <f>SUM(J23-J24-J27)</f>
        <v>25125806.205710698</v>
      </c>
      <c r="K28" s="14">
        <f>SUM(K23-K24-K27)</f>
        <v>26165312.96580722</v>
      </c>
      <c r="L28" s="14">
        <f>SUM(L23-L24-L27)</f>
        <v>27165023.88362023</v>
      </c>
      <c r="M28" s="14">
        <f>SUM(M23-M24-M27)</f>
        <v>28198869.67148357</v>
      </c>
      <c r="N28" s="14">
        <f>SUM(N23-N24-N27)</f>
        <v>29267993.825316712</v>
      </c>
      <c r="O28" s="14">
        <f>SUM(O23-O24-O27)</f>
        <v>31388558.50786111</v>
      </c>
      <c r="P28" s="14">
        <f>SUM(P23-P24-P27)</f>
        <v>34079358.11882511</v>
      </c>
      <c r="Q28" s="14">
        <f>SUM(Q23-Q24-Q27)</f>
        <v>35261660.357259795</v>
      </c>
      <c r="R28" s="14">
        <f>SUM(R23-R24-R27)</f>
        <v>36484258.52755159</v>
      </c>
      <c r="S28" s="14">
        <f>SUM(S23-S24-S27)</f>
        <v>37748511.14046207</v>
      </c>
      <c r="T28" s="14">
        <f>SUM(T23-T24-T27)</f>
        <v>39055822.10069259</v>
      </c>
      <c r="U28" s="14">
        <f>SUM(U23-U24-U27)</f>
        <v>40407642.21249963</v>
      </c>
      <c r="V28" s="14">
        <f>SUM(V23-V24-V27)</f>
        <v>41805470.73493641</v>
      </c>
      <c r="W28" s="14">
        <f>SUM(W23-W24-W27)</f>
        <v>43250856.98834729</v>
      </c>
      <c r="X28" s="14">
        <f>SUM(X23-X24-X27)</f>
        <v>44745402.013795845</v>
      </c>
      <c r="Y28" s="14">
        <f>SUM(Y23-Y24-Y27)</f>
        <v>46290760.287160724</v>
      </c>
      <c r="Z28" s="14">
        <f>SUM(Z23-Z24-Z27)</f>
        <v>47888629.48969117</v>
      </c>
      <c r="AA28" s="14">
        <f>SUM(AA23-AA24-AA27)</f>
        <v>50012660.33687203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31304166.52</v>
      </c>
      <c r="H29" s="18">
        <f>zał2!G14</f>
        <v>4948227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27245429</v>
      </c>
      <c r="H30" s="18">
        <f>zał3!I13</f>
        <v>3948227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24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4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8967474.594529994</v>
      </c>
      <c r="I33" s="25">
        <f>SUM(I28-I29+I31)</f>
        <v>21376309.25745993</v>
      </c>
      <c r="J33" s="25">
        <f>SUM(J28-J29+J31)</f>
        <v>22625806.205710698</v>
      </c>
      <c r="K33" s="25">
        <f>SUM(K28-K29+K31)</f>
        <v>23590312.96580722</v>
      </c>
      <c r="L33" s="25">
        <f>SUM(L28-L29+L31)</f>
        <v>24512773.88362023</v>
      </c>
      <c r="M33" s="25">
        <f>SUM(M28-M29+M31)</f>
        <v>25467052.17148357</v>
      </c>
      <c r="N33" s="25">
        <f>SUM(N28-N29+N31)</f>
        <v>26454221.800316714</v>
      </c>
      <c r="O33" s="25">
        <f>SUM(O28-O29+O31)</f>
        <v>28490373.32211111</v>
      </c>
      <c r="P33" s="25">
        <f>SUM(P28-P29+P31)</f>
        <v>31094227.37750261</v>
      </c>
      <c r="Q33" s="25">
        <f>SUM(Q28-Q29+Q31)</f>
        <v>32186975.69369762</v>
      </c>
      <c r="R33" s="25">
        <f>SUM(R28-R29+R31)</f>
        <v>33317333.32408255</v>
      </c>
      <c r="S33" s="25">
        <f>SUM(S28-S29+S31)</f>
        <v>34486578.18088896</v>
      </c>
      <c r="T33" s="25">
        <f>SUM(T28-T29+T31)</f>
        <v>35696031.15233229</v>
      </c>
      <c r="U33" s="25">
        <f>SUM(U28-U29+U31)</f>
        <v>36947057.53568852</v>
      </c>
      <c r="V33" s="25">
        <f>SUM(V28-V29+V31)</f>
        <v>38241068.51782096</v>
      </c>
      <c r="W33" s="25">
        <f>SUM(W28-W29+W31)</f>
        <v>39579522.70471838</v>
      </c>
      <c r="X33" s="25">
        <f>SUM(X28-X29+X31)</f>
        <v>40963927.70165807</v>
      </c>
      <c r="Y33" s="25">
        <f>SUM(Y28-Y29+Y31)</f>
        <v>42395841.745658815</v>
      </c>
      <c r="Z33" s="25">
        <f>SUM(Z28-Z29+Z31)</f>
        <v>43876863.3919442</v>
      </c>
      <c r="AA33" s="25">
        <f>SUM(AA28-AA29+AA31)</f>
        <v>45880541.25619265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24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36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48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0.09163557148304387</v>
      </c>
      <c r="H38" s="27">
        <f>zał2!G45</f>
        <v>0.09686449046699512</v>
      </c>
      <c r="I38" s="27">
        <f>zał2!H45</f>
        <v>0.09536298465421245</v>
      </c>
      <c r="J38" s="27">
        <f>zał2!I45</f>
        <v>0.058209418835875326</v>
      </c>
      <c r="K38" s="27">
        <f>zał2!J45</f>
        <v>0.053573184540305935</v>
      </c>
      <c r="L38" s="27">
        <f>zał2!K45</f>
        <v>0.04916283273430781</v>
      </c>
      <c r="M38" s="27">
        <f>zał2!L45</f>
        <v>0.044968980562836165</v>
      </c>
      <c r="N38" s="27">
        <f>zał2!M45</f>
        <v>0.04098267439474575</v>
      </c>
      <c r="O38" s="27">
        <f>zał2!N45</f>
        <v>0.03123744486852278</v>
      </c>
      <c r="P38" s="27">
        <f>zał2!O45</f>
        <v>0.014884873965158099</v>
      </c>
      <c r="Q38" s="27">
        <f>zał2!P45</f>
        <v>0.013817505549936908</v>
      </c>
      <c r="R38" s="27">
        <f>zał2!Q45</f>
        <v>0.012800803911976891</v>
      </c>
      <c r="S38" s="27">
        <f>zał2!R45</f>
        <v>0.011832689128019092</v>
      </c>
      <c r="T38" s="27">
        <f>zał2!S45</f>
        <v>0.010911160483939536</v>
      </c>
      <c r="U38" s="27">
        <f>zał2!T45</f>
        <v>0.010034293593798186</v>
      </c>
      <c r="V38" s="27">
        <f>zał2!U45</f>
        <v>0.009200237620464203</v>
      </c>
      <c r="W38" s="27">
        <f>zał2!V45</f>
        <v>0.008407212594315667</v>
      </c>
      <c r="X38" s="27">
        <f>zał2!W45</f>
        <v>0.007653506826630597</v>
      </c>
      <c r="Y38" s="27">
        <f>zał2!X45</f>
        <v>0.0069374744144007775</v>
      </c>
      <c r="Z38" s="27">
        <f>zał2!Y45</f>
        <v>0.006257226330151451</v>
      </c>
      <c r="AA38" s="27">
        <f>zał2!Z45</f>
        <v>0.002458030695039349</v>
      </c>
    </row>
    <row r="39" spans="1:27" ht="24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0.09064789927283053</v>
      </c>
      <c r="I39" s="27">
        <f>((H9+H11-H13-H26)/H8+(G9+G11-G13-G26)/G8+(F9+F11-F13-F26)/F8)/3</f>
        <v>0.14102210075229904</v>
      </c>
      <c r="J39" s="27">
        <f>((I9+I11-I13-I26)/I8+(H9+H11-H13-H26)/H8+(G9+G11-G13-G26)/G8)/3</f>
        <v>0.16414152796035864</v>
      </c>
      <c r="K39" s="27">
        <f>((J9+J11-J13-J26)/J8+(I9+I11-I13-I26)/I8+(H9+H11-H13-H26)/H8)/3</f>
        <v>0.20672185263873852</v>
      </c>
      <c r="L39" s="27">
        <f>((K9+K11-K13-K26)/K8+(J9+J11-J13-J26)/J8+(I9+I11-I13-I26)/I8)/3</f>
        <v>0.18997689728264766</v>
      </c>
      <c r="M39" s="27">
        <f>((L9+L11-L13-L26)/L8+(K9+K11-K13-K26)/K8+(J9+J11-J13-J26)/J8)/3</f>
        <v>0.19072024975299737</v>
      </c>
      <c r="N39" s="27">
        <f>((M9+M11-M13-M26)/M8+(L9+L11-L13-L26)/L8+(K9+K11-K13-K26)/K8)/3</f>
        <v>0.19146295885255613</v>
      </c>
      <c r="O39" s="27">
        <f>((N9+N11-N13-N26)/N8+(M9+M11-M13-M26)/M8+(L9+L11-L13-L26)/L8)/3</f>
        <v>0.1922050250669738</v>
      </c>
      <c r="P39" s="27">
        <f>((O9+O11-O13-O26)/O8+(N9+N11-N13-N26)/N8+(M9+M11-M13-M26)/M8)/3</f>
        <v>0.1929464488816648</v>
      </c>
      <c r="Q39" s="27">
        <f>((P9+P11-P13-P26)/P8+(O9+O11-O13-O26)/O8+(N9+N11-N13-N26)/N8)/3</f>
        <v>0.19368723078180775</v>
      </c>
      <c r="R39" s="27">
        <f>((Q9+Q11-Q13-Q26)/Q8+(P9+P11-P13-P26)/P8+(O9+O11-O13-O26)/O8)/3</f>
        <v>0.19442737125234577</v>
      </c>
      <c r="S39" s="27">
        <f>((R9+R11-R13-R26)/R8+(Q9+Q11-Q13-Q26)/Q8+(P9+P11-P13-P26)/P8)/3</f>
        <v>0.19516687077798564</v>
      </c>
      <c r="T39" s="27">
        <f>((S9+S11-S13-S26)/S8+(R9+R11-R13-R26)/R8+(Q9+Q11-Q13-Q26)/Q8)/3</f>
        <v>0.19590572984319832</v>
      </c>
      <c r="U39" s="27">
        <f>((T9+T11-T13-T26)/T8+(S9+S11-S13-S26)/S8+(R9+R11-R13-R26)/R8)/3</f>
        <v>0.1966439489322185</v>
      </c>
      <c r="V39" s="27">
        <f>((U9+U11-U13-U26)/U8+(T9+T11-T13-T26)/T8+(S9+S11-S13-S26)/S8)/3</f>
        <v>0.19738152852904442</v>
      </c>
      <c r="W39" s="27">
        <f>((V9+V11-V13-V26)/V8+(U9+U11-U13-U26)/U8+(T9+T11-T13-T26)/T8)/3</f>
        <v>0.19811846911743794</v>
      </c>
      <c r="X39" s="27">
        <f>((W9+W11-W13-W26)/W8+(V9+V11-V13-V26)/V8+(U9+U11-U13-U26)/U8)/3</f>
        <v>0.1988547711809242</v>
      </c>
      <c r="Y39" s="27">
        <f>((X9+X11-X13-X26)/X8+(W9+W11-W13-W26)/W8+(V9+V11-V13-V26)/V8)/3</f>
        <v>0.1995904352027916</v>
      </c>
      <c r="Z39" s="27">
        <f>((Y9+Y11-Y13-Y26)/Y8+(X9+X11-X13-X26)/X8+(W9+W11-W13-W26)/W8)/3</f>
        <v>0.20032546166609158</v>
      </c>
      <c r="AA39" s="27">
        <f>((Z9+Z11-Z13-Z26)/Z8+(Y9+Y11-Y13-Y26)/Y8+(X9+X11-X13-X26)/X8)/3</f>
        <v>0.20105985105363866</v>
      </c>
    </row>
    <row r="40" spans="1:27" ht="24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36.75">
      <c r="A41" s="12">
        <v>17</v>
      </c>
      <c r="B41" s="31" t="s">
        <v>46</v>
      </c>
      <c r="C41" s="32">
        <f>SUM(C24-C36+C16)/C8</f>
        <v>0.06405910593329357</v>
      </c>
      <c r="D41" s="32">
        <f>SUM(D24-D36+D16)/D8</f>
        <v>0.09000786764321199</v>
      </c>
      <c r="E41" s="32">
        <f>SUM(E24-E36+E16)/E8</f>
        <v>0.086062524227661</v>
      </c>
      <c r="F41" s="32">
        <f>SUM(F24-F55-F36+F16)/F8</f>
        <v>0.09254092257301441</v>
      </c>
      <c r="G41" s="32">
        <f>SUM(G24-G55-G36+G16)/G8</f>
        <v>0.10489934328710145</v>
      </c>
      <c r="H41" s="32">
        <f>SUM(H24-H55-H36+H16)/H8</f>
        <v>0.11113922808533543</v>
      </c>
      <c r="I41" s="32">
        <f>SUM(I24-I55-I36+I16)/I8</f>
        <v>0.09536298465421245</v>
      </c>
      <c r="J41" s="32">
        <f>SUM(J24-J55-J36+J16)/J8</f>
        <v>0.058209418835875326</v>
      </c>
      <c r="K41" s="32">
        <f>SUM(K24-K55-K36+K16)/K8</f>
        <v>0.053573184540305935</v>
      </c>
      <c r="L41" s="32">
        <f>SUM(L24-L55-L36+L16)/L8</f>
        <v>0.04916283273430782</v>
      </c>
      <c r="M41" s="32">
        <f>SUM(M24-M55-M36+M16)/M8</f>
        <v>0.044968980562836165</v>
      </c>
      <c r="N41" s="32">
        <f>SUM(N24-N55-N36+N16)/N8</f>
        <v>0.04098267439474575</v>
      </c>
      <c r="O41" s="32">
        <f>SUM(O24-O55-O36+O16)/O8</f>
        <v>0.03123744486852278</v>
      </c>
      <c r="P41" s="32">
        <f>SUM(P24-P55-P36+P16)/P8</f>
        <v>0.014884873965158096</v>
      </c>
      <c r="Q41" s="32">
        <f>SUM(Q24-Q55-Q36+Q16)/Q8</f>
        <v>0.013817505549936904</v>
      </c>
      <c r="R41" s="32">
        <f>SUM(R24-R55-R36+R16)/R8</f>
        <v>0.012800803911976891</v>
      </c>
      <c r="S41" s="32">
        <f>SUM(S24-S55-S36+S16)/S8</f>
        <v>0.01183268912801909</v>
      </c>
      <c r="T41" s="32">
        <f>SUM(T24-T55-T36+T16)/T8</f>
        <v>0.010911160483939534</v>
      </c>
      <c r="U41" s="32">
        <f>SUM(U24-U55-U36+U16)/U8</f>
        <v>0.010034293593798186</v>
      </c>
      <c r="V41" s="32">
        <f>SUM(V24-V55-V36+V16)/V8</f>
        <v>0.0092002376204642</v>
      </c>
      <c r="W41" s="32">
        <f>SUM(W24-W55-W36+W16)/W8</f>
        <v>0.008407212594315667</v>
      </c>
      <c r="X41" s="32">
        <f>SUM(X24-X55-X36+X16)/X8</f>
        <v>0.007653506826630597</v>
      </c>
      <c r="Y41" s="32">
        <f>SUM(Y24-Y55-Y36+Y16)/Y8</f>
        <v>0.0069374744144007775</v>
      </c>
      <c r="Z41" s="32">
        <f>SUM(Z24-Z55-Z36+Z16)/Z8</f>
        <v>0.006257226330151451</v>
      </c>
      <c r="AA41" s="32">
        <f>SUM(AA24-AA55-AA36+AA16)/AA8</f>
        <v>0.002458030695039349</v>
      </c>
    </row>
    <row r="42" spans="1:27" ht="24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0.3484035943965676</v>
      </c>
      <c r="H42" s="27">
        <f>SUM(H34-H35)/H8</f>
        <v>0.38072498600893795</v>
      </c>
      <c r="I42" s="27">
        <f>SUM(I34-I35)/I8</f>
        <v>0.32652775814208557</v>
      </c>
      <c r="J42" s="27">
        <f>SUM(J34-J35)/J8</f>
        <v>0.2813438861569927</v>
      </c>
      <c r="K42" s="27">
        <f>SUM(K34-K35)/K8</f>
        <v>0.23857837242325358</v>
      </c>
      <c r="L42" s="27">
        <f>SUM(L34-L35)/L8</f>
        <v>0.19812674967734864</v>
      </c>
      <c r="M42" s="27">
        <f>SUM(M34-M35)/M8</f>
        <v>0.15988864295781163</v>
      </c>
      <c r="N42" s="27">
        <f>SUM(N34-N35)/N8</f>
        <v>0.12376754171310003</v>
      </c>
      <c r="O42" s="27">
        <f>SUM(O34-O35)/O8</f>
        <v>0.09638024260498598</v>
      </c>
      <c r="P42" s="27">
        <f>SUM(P34-P35)/P8</f>
        <v>0.08530074657569635</v>
      </c>
      <c r="Q42" s="27">
        <f>SUM(Q34-Q35)/Q8</f>
        <v>0.07479955959545026</v>
      </c>
      <c r="R42" s="27">
        <f>SUM(R34-R35)/R8</f>
        <v>0.06485194732200793</v>
      </c>
      <c r="S42" s="27">
        <f>SUM(S34-S35)/S8</f>
        <v>0.05543413918159318</v>
      </c>
      <c r="T42" s="27">
        <f>SUM(T34-T35)/T8</f>
        <v>0.04652329279918083</v>
      </c>
      <c r="U42" s="27">
        <f>SUM(U34-U35)/U8</f>
        <v>0.038097459695677294</v>
      </c>
      <c r="V42" s="27">
        <f>SUM(V34-V35)/V8</f>
        <v>0.03013555220799144</v>
      </c>
      <c r="W42" s="27">
        <f>SUM(W34-W35)/W8</f>
        <v>0.022617311589493004</v>
      </c>
      <c r="X42" s="27">
        <f>SUM(X34-X35)/X8</f>
        <v>0.015523277249805137</v>
      </c>
      <c r="Y42" s="27">
        <f>SUM(Y34-Y35)/Y8</f>
        <v>0.008834757094278677</v>
      </c>
      <c r="Z42" s="27">
        <f>SUM(Z34-Z35)/Z8</f>
        <v>0.00253409907205066</v>
      </c>
      <c r="AA42" s="27">
        <f>SUM(AA34-AA35)/AA8</f>
        <v>1.0466911086192294E-17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60368454.61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91672621.13</v>
      </c>
      <c r="H44" s="34">
        <f>SUM(H29,H43)</f>
        <v>55981527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14072300.029029995</v>
      </c>
      <c r="I45" s="34">
        <f>SUM(I8-I44)</f>
        <v>12408835.462929934</v>
      </c>
      <c r="J45" s="34">
        <f>SUM(J8-J44)</f>
        <v>12919932.977280766</v>
      </c>
      <c r="K45" s="34">
        <f>SUM(K8-K44)</f>
        <v>13373342.223026454</v>
      </c>
      <c r="L45" s="34">
        <f>SUM(L8-L44)</f>
        <v>13842393.895093776</v>
      </c>
      <c r="M45" s="34">
        <f>SUM(M8-M44)</f>
        <v>14327620.510889791</v>
      </c>
      <c r="N45" s="34">
        <f>SUM(N8-N44)</f>
        <v>14829572.523926921</v>
      </c>
      <c r="O45" s="34">
        <f>SUM(O8-O44)</f>
        <v>15348818.922684193</v>
      </c>
      <c r="P45" s="34">
        <f>SUM(P8-P44)</f>
        <v>15885947.849318415</v>
      </c>
      <c r="Q45" s="34">
        <f>SUM(Q8-Q44)</f>
        <v>16441567.238879204</v>
      </c>
      <c r="R45" s="34">
        <f>SUM(R8-R44)</f>
        <v>17016305.47970335</v>
      </c>
      <c r="S45" s="34">
        <f>SUM(S8-S44)</f>
        <v>17610812.095685616</v>
      </c>
      <c r="T45" s="34">
        <f>SUM(T8-T44)</f>
        <v>18225758.451146662</v>
      </c>
      <c r="U45" s="34">
        <f>SUM(U8-U44)</f>
        <v>18861838.47904186</v>
      </c>
      <c r="V45" s="34">
        <f>SUM(V8-V44)</f>
        <v>19519769.433279097</v>
      </c>
      <c r="W45" s="34">
        <f>SUM(W8-W44)</f>
        <v>20200292.665939286</v>
      </c>
      <c r="X45" s="34">
        <f>SUM(X8-X44)</f>
        <v>20904174.430218786</v>
      </c>
      <c r="Y45" s="34">
        <f>SUM(Y8-Y44)</f>
        <v>21632206.70994003</v>
      </c>
      <c r="Z45" s="34">
        <f>SUM(Z8-Z44)</f>
        <v>22385208.07650417</v>
      </c>
      <c r="AA45" s="34">
        <f>SUM(AA8-AA44)</f>
        <v>23164024.574188486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14822300.029029995</v>
      </c>
      <c r="J46" s="34">
        <f>SUM(J31,J20)</f>
        <v>13158835.462929934</v>
      </c>
      <c r="K46" s="34">
        <f>SUM(K31,K20)</f>
        <v>13669932.977280766</v>
      </c>
      <c r="L46" s="34">
        <f>SUM(L31,L20)</f>
        <v>14123342.223026454</v>
      </c>
      <c r="M46" s="34">
        <f>SUM(M31,M20)</f>
        <v>14592393.895093776</v>
      </c>
      <c r="N46" s="34">
        <f>SUM(N31,N20)</f>
        <v>15077620.510889791</v>
      </c>
      <c r="O46" s="34">
        <f>SUM(O31,O20)</f>
        <v>15579572.523926921</v>
      </c>
      <c r="P46" s="34">
        <f>SUM(P31,P20)</f>
        <v>16098818.922684193</v>
      </c>
      <c r="Q46" s="34">
        <f>SUM(Q31,Q20)</f>
        <v>16635947.849318415</v>
      </c>
      <c r="R46" s="34">
        <f>SUM(R31,R20)</f>
        <v>17191567.238879204</v>
      </c>
      <c r="S46" s="34">
        <f>SUM(S31,S20)</f>
        <v>17766305.47970335</v>
      </c>
      <c r="T46" s="34">
        <f>SUM(T31,T20)</f>
        <v>18360812.095685616</v>
      </c>
      <c r="U46" s="34">
        <f>SUM(U31,U20)</f>
        <v>18975758.451146662</v>
      </c>
      <c r="V46" s="34">
        <f>SUM(V31,V20)</f>
        <v>19611838.47904186</v>
      </c>
      <c r="W46" s="34">
        <f>SUM(W31,W20)</f>
        <v>20269769.433279097</v>
      </c>
      <c r="X46" s="34">
        <f>SUM(X31,X20)</f>
        <v>20950292.665939286</v>
      </c>
      <c r="Y46" s="34">
        <f>SUM(Y31,Y20)</f>
        <v>21654174.430218786</v>
      </c>
      <c r="Z46" s="34">
        <f>SUM(Z31,Z20)</f>
        <v>22382206.70994003</v>
      </c>
      <c r="AA46" s="34">
        <f>SUM(AA31,AA20)</f>
        <v>23135208.07650417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60368454.61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57968454.61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14072300.029029995</v>
      </c>
      <c r="I60" s="43">
        <f>zał2!H15</f>
        <v>12408835.462929934</v>
      </c>
      <c r="J60" s="43">
        <f>zał2!I15</f>
        <v>12919932.977280766</v>
      </c>
      <c r="K60" s="43">
        <f>zał2!J15</f>
        <v>13373342.223026454</v>
      </c>
      <c r="L60" s="43">
        <f>zał2!K15</f>
        <v>13842393.895093776</v>
      </c>
      <c r="M60" s="43">
        <f>zał2!L15</f>
        <v>14327620.510889791</v>
      </c>
      <c r="N60" s="43">
        <f>zał2!M15</f>
        <v>14829572.523926921</v>
      </c>
      <c r="O60" s="43">
        <f>zał2!N15</f>
        <v>15348818.922684193</v>
      </c>
      <c r="P60" s="43">
        <f>zał2!O15</f>
        <v>15885947.849318415</v>
      </c>
      <c r="Q60" s="43">
        <f>zał2!P15</f>
        <v>16441567.238879204</v>
      </c>
      <c r="R60" s="43">
        <f>zał2!Q15</f>
        <v>17016305.47970335</v>
      </c>
      <c r="S60" s="43">
        <f>zał2!R15</f>
        <v>17610812.095685616</v>
      </c>
      <c r="T60" s="43">
        <f>zał2!S15</f>
        <v>18225758.451146662</v>
      </c>
      <c r="U60" s="43">
        <f>zał2!T15</f>
        <v>18861838.47904186</v>
      </c>
      <c r="V60" s="43">
        <f>zał2!U15</f>
        <v>19519769.433279097</v>
      </c>
      <c r="W60" s="43">
        <f>zał2!V15</f>
        <v>20200292.665939286</v>
      </c>
      <c r="X60" s="43">
        <f>zał2!W15</f>
        <v>20904174.430218786</v>
      </c>
      <c r="Y60" s="43">
        <f>zał2!X15</f>
        <v>21632206.70994003</v>
      </c>
      <c r="Z60" s="43">
        <f>zał2!Y15</f>
        <v>22385208.07650417</v>
      </c>
      <c r="AA60" s="43">
        <f>zał2!Z15</f>
        <v>23164024.574188486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24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14822300.029029995</v>
      </c>
      <c r="J62" s="45">
        <f>SUM(I60+J61)</f>
        <v>13158835.462929934</v>
      </c>
      <c r="K62" s="45">
        <f>SUM(J60+K61)</f>
        <v>13669932.977280766</v>
      </c>
      <c r="L62" s="45">
        <f>SUM(K60+L61)</f>
        <v>14123342.223026454</v>
      </c>
      <c r="M62" s="45">
        <f>SUM(L60+M61)</f>
        <v>14592393.895093776</v>
      </c>
      <c r="N62" s="45">
        <f>SUM(M60+N61)</f>
        <v>15077620.510889791</v>
      </c>
      <c r="O62" s="45">
        <f>SUM(N60+O61)</f>
        <v>15579572.523926921</v>
      </c>
      <c r="P62" s="45">
        <f>SUM(O60+P61)</f>
        <v>16098818.922684193</v>
      </c>
      <c r="Q62" s="45">
        <f>SUM(P60+Q61)</f>
        <v>16635947.849318415</v>
      </c>
      <c r="R62" s="45">
        <f>SUM(Q60+R61)</f>
        <v>17191567.238879204</v>
      </c>
      <c r="S62" s="45">
        <f>SUM(R60+S61)</f>
        <v>17766305.47970335</v>
      </c>
      <c r="T62" s="45">
        <f>SUM(S60+T61)</f>
        <v>18360812.095685616</v>
      </c>
      <c r="U62" s="45">
        <f>SUM(T60+U61)</f>
        <v>18975758.451146662</v>
      </c>
      <c r="V62" s="45">
        <f>SUM(U60+V61)</f>
        <v>19611838.47904186</v>
      </c>
      <c r="W62" s="45">
        <f>SUM(V60+W61)</f>
        <v>20269769.433279097</v>
      </c>
      <c r="X62" s="45">
        <f>SUM(W60+X61)</f>
        <v>20950292.665939286</v>
      </c>
      <c r="Y62" s="45">
        <f>SUM(X60+Y61)</f>
        <v>21654174.430218786</v>
      </c>
      <c r="Z62" s="45">
        <f>SUM(Y60+Z61)</f>
        <v>22382206.70994003</v>
      </c>
      <c r="AA62" s="45">
        <f>SUM(Z60+AA61)</f>
        <v>23135208.07650417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E12" sqref="E12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93" t="s">
        <v>374</v>
      </c>
    </row>
    <row r="2" spans="2:6" ht="13.5" customHeight="1">
      <c r="B2" s="144" t="s">
        <v>375</v>
      </c>
      <c r="C2" s="294" t="s">
        <v>376</v>
      </c>
      <c r="D2" s="294"/>
      <c r="E2" s="295" t="s">
        <v>377</v>
      </c>
      <c r="F2" s="295"/>
    </row>
    <row r="3" spans="2:24" ht="18" customHeight="1">
      <c r="B3" s="296" t="s">
        <v>378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7"/>
    </row>
    <row r="4" ht="8.25" customHeight="1">
      <c r="C4" s="194"/>
    </row>
    <row r="5" spans="2:24" ht="60.75" customHeight="1">
      <c r="B5" s="298" t="s">
        <v>3</v>
      </c>
      <c r="C5" s="299" t="s">
        <v>379</v>
      </c>
      <c r="D5" s="300" t="s">
        <v>380</v>
      </c>
      <c r="E5" s="299" t="s">
        <v>381</v>
      </c>
      <c r="F5" s="299" t="s">
        <v>382</v>
      </c>
      <c r="G5" s="299" t="s">
        <v>383</v>
      </c>
      <c r="H5" s="299" t="s">
        <v>384</v>
      </c>
      <c r="I5" s="299" t="s">
        <v>385</v>
      </c>
      <c r="J5" s="299" t="s">
        <v>386</v>
      </c>
      <c r="K5" s="299" t="s">
        <v>387</v>
      </c>
      <c r="L5" s="299" t="s">
        <v>388</v>
      </c>
      <c r="M5" s="299" t="s">
        <v>389</v>
      </c>
      <c r="N5" s="299" t="s">
        <v>390</v>
      </c>
      <c r="O5" s="299" t="s">
        <v>391</v>
      </c>
      <c r="P5" s="299" t="s">
        <v>392</v>
      </c>
      <c r="Q5" s="299" t="s">
        <v>393</v>
      </c>
      <c r="R5" s="299" t="s">
        <v>394</v>
      </c>
      <c r="S5" s="299" t="s">
        <v>395</v>
      </c>
      <c r="T5" s="299" t="s">
        <v>396</v>
      </c>
      <c r="U5" s="299" t="s">
        <v>397</v>
      </c>
      <c r="V5" s="299" t="s">
        <v>398</v>
      </c>
      <c r="W5" s="299" t="s">
        <v>399</v>
      </c>
      <c r="X5" s="299" t="s">
        <v>400</v>
      </c>
    </row>
    <row r="6" spans="2:24" ht="30.75" customHeight="1">
      <c r="B6" s="301" t="s">
        <v>401</v>
      </c>
      <c r="C6" s="302">
        <f>C7+C8</f>
        <v>72674133.27</v>
      </c>
      <c r="D6" s="302">
        <f>D7+D8</f>
        <v>89868856.13</v>
      </c>
      <c r="E6" s="302">
        <f>E7+E8</f>
        <v>70053827.02903</v>
      </c>
      <c r="F6" s="302">
        <f>F7+F8</f>
        <v>67473134.46292993</v>
      </c>
      <c r="G6" s="302">
        <f>G7+G8</f>
        <v>69561160.94728076</v>
      </c>
      <c r="H6" s="302">
        <f>H7+H8</f>
        <v>71713807.03212646</v>
      </c>
      <c r="I6" s="302">
        <f>I7+I8</f>
        <v>73933072.64846678</v>
      </c>
      <c r="J6" s="302">
        <f>J7+J8</f>
        <v>76221019.62686399</v>
      </c>
      <c r="K6" s="302">
        <f>K7+K8</f>
        <v>78579773.61338034</v>
      </c>
      <c r="L6" s="302">
        <f>L7+L8</f>
        <v>81011526.04482122</v>
      </c>
      <c r="M6" s="302">
        <f>M7+M8</f>
        <v>83518536.18511955</v>
      </c>
      <c r="N6" s="302">
        <f>N7+N8</f>
        <v>86103133.22475438</v>
      </c>
      <c r="O6" s="302">
        <f>O7+O8</f>
        <v>88767718.44515477</v>
      </c>
      <c r="P6" s="302">
        <f>P7+P8</f>
        <v>91514767.45010057</v>
      </c>
      <c r="Q6" s="302">
        <f>Q7+Q8</f>
        <v>94346832.46619408</v>
      </c>
      <c r="R6" s="302">
        <f>R7+R8</f>
        <v>97266544.71454069</v>
      </c>
      <c r="S6" s="302">
        <f>S7+S8</f>
        <v>100276616.85584289</v>
      </c>
      <c r="T6" s="302">
        <f>T7+T8</f>
        <v>103379845.51118</v>
      </c>
      <c r="U6" s="302">
        <f>U7+U8</f>
        <v>106579113.86081672</v>
      </c>
      <c r="V6" s="302">
        <f>V7+V8</f>
        <v>109877394.3234559</v>
      </c>
      <c r="W6" s="302">
        <f>W7+W8</f>
        <v>113277751.31842552</v>
      </c>
      <c r="X6" s="302">
        <f>X7+X8</f>
        <v>116783344.11336747</v>
      </c>
    </row>
    <row r="7" spans="2:24" ht="20.25" customHeight="1">
      <c r="B7" s="303" t="s">
        <v>402</v>
      </c>
      <c r="C7" s="304">
        <f>zał2!E9</f>
        <v>61924678.14</v>
      </c>
      <c r="D7" s="304">
        <f>zał2!F9</f>
        <v>60051545.13</v>
      </c>
      <c r="E7" s="304">
        <f>zał2!G9</f>
        <v>61913143.02903</v>
      </c>
      <c r="F7" s="304">
        <f>zał2!H9</f>
        <v>63832450.462929934</v>
      </c>
      <c r="G7" s="304">
        <f>zał2!I9</f>
        <v>65811256.42728076</v>
      </c>
      <c r="H7" s="304">
        <f>zał2!J9</f>
        <v>67851405.37652646</v>
      </c>
      <c r="I7" s="304">
        <f>zał2!K9</f>
        <v>69954798.94319879</v>
      </c>
      <c r="J7" s="304">
        <f>zał2!L9</f>
        <v>72123397.71043795</v>
      </c>
      <c r="K7" s="304">
        <f>zał2!M9</f>
        <v>74359223.03946152</v>
      </c>
      <c r="L7" s="304">
        <f>zał2!N9</f>
        <v>76664358.95368484</v>
      </c>
      <c r="M7" s="304">
        <f>zał2!O9</f>
        <v>79040954.08124907</v>
      </c>
      <c r="N7" s="304">
        <f>zał2!P9</f>
        <v>81491223.65776779</v>
      </c>
      <c r="O7" s="304">
        <f>zał2!Q9</f>
        <v>84017451.59115858</v>
      </c>
      <c r="P7" s="304">
        <f>zał2!R9</f>
        <v>86621992.5904845</v>
      </c>
      <c r="Q7" s="304">
        <f>zał2!S9</f>
        <v>89307274.36078952</v>
      </c>
      <c r="R7" s="304">
        <f>zał2!T9</f>
        <v>92075799.865974</v>
      </c>
      <c r="S7" s="304">
        <f>zał2!U9</f>
        <v>94930149.66181919</v>
      </c>
      <c r="T7" s="304">
        <f>zał2!V9</f>
        <v>97872984.30133559</v>
      </c>
      <c r="U7" s="304">
        <f>zał2!W9</f>
        <v>100907046.81467699</v>
      </c>
      <c r="V7" s="304">
        <f>zał2!X9</f>
        <v>104035165.26593198</v>
      </c>
      <c r="W7" s="304">
        <f>zał2!Y9</f>
        <v>107260255.38917588</v>
      </c>
      <c r="X7" s="304">
        <f>zał2!Z9</f>
        <v>110585323.30624034</v>
      </c>
    </row>
    <row r="8" spans="2:27" ht="22.5" customHeight="1">
      <c r="B8" s="303" t="s">
        <v>403</v>
      </c>
      <c r="C8" s="304">
        <f>zał2!E10</f>
        <v>10749455.13</v>
      </c>
      <c r="D8" s="304">
        <f>zał2!F10</f>
        <v>29817311</v>
      </c>
      <c r="E8" s="304">
        <f>zał2!G10</f>
        <v>8140684</v>
      </c>
      <c r="F8" s="304">
        <f>zał2!H10</f>
        <v>3640684</v>
      </c>
      <c r="G8" s="304">
        <f>zał2!I10</f>
        <v>3749904.52</v>
      </c>
      <c r="H8" s="304">
        <f>zał2!J10</f>
        <v>3862401.6556</v>
      </c>
      <c r="I8" s="304">
        <f>zał2!K10</f>
        <v>3978273.7052680003</v>
      </c>
      <c r="J8" s="304">
        <f>zał2!L10</f>
        <v>4097621.91642604</v>
      </c>
      <c r="K8" s="304">
        <f>zał2!M10</f>
        <v>4220550.573918821</v>
      </c>
      <c r="L8" s="304">
        <f>zał2!N10</f>
        <v>4347167.091136386</v>
      </c>
      <c r="M8" s="304">
        <f>zał2!O10</f>
        <v>4477582.1038704775</v>
      </c>
      <c r="N8" s="304">
        <f>zał2!P10</f>
        <v>4611909.566986592</v>
      </c>
      <c r="O8" s="304">
        <f>zał2!Q10</f>
        <v>4750266.853996189</v>
      </c>
      <c r="P8" s="304">
        <f>zał2!R10</f>
        <v>4892774.859616075</v>
      </c>
      <c r="Q8" s="304">
        <f>zał2!S10</f>
        <v>5039558.105404557</v>
      </c>
      <c r="R8" s="304">
        <f>zał2!T10</f>
        <v>5190744.848566693</v>
      </c>
      <c r="S8" s="304">
        <f>zał2!U10</f>
        <v>5346467.194023694</v>
      </c>
      <c r="T8" s="304">
        <f>zał2!V10</f>
        <v>5506861.209844405</v>
      </c>
      <c r="U8" s="304">
        <f>zał2!W10</f>
        <v>5672067.046139737</v>
      </c>
      <c r="V8" s="304">
        <f>zał2!X10</f>
        <v>5842229.057523929</v>
      </c>
      <c r="W8" s="304">
        <f>zał2!Y10</f>
        <v>6017495.929249646</v>
      </c>
      <c r="X8" s="304">
        <f>zał2!Z10</f>
        <v>6198020.807127136</v>
      </c>
      <c r="Y8" s="235"/>
      <c r="Z8" s="235"/>
      <c r="AA8" s="235"/>
    </row>
    <row r="9" spans="2:24" ht="26.25" customHeight="1">
      <c r="B9" s="303" t="s">
        <v>404</v>
      </c>
      <c r="C9" s="304">
        <f>zał2!E11</f>
        <v>1643757.32</v>
      </c>
      <c r="D9" s="304">
        <f>zał2!F11</f>
        <v>5910000</v>
      </c>
      <c r="E9" s="304">
        <f>zał2!G11</f>
        <v>6000000</v>
      </c>
      <c r="F9" s="304">
        <f>zał2!H11</f>
        <v>1500000</v>
      </c>
      <c r="G9" s="304">
        <f>zał2!I11</f>
        <v>1545000</v>
      </c>
      <c r="H9" s="304">
        <f>zał2!J11</f>
        <v>1591350</v>
      </c>
      <c r="I9" s="304">
        <f>zał2!K11</f>
        <v>1639090.5</v>
      </c>
      <c r="J9" s="304">
        <f>zał2!L11</f>
        <v>1688263.215</v>
      </c>
      <c r="K9" s="304">
        <f>zał2!M11</f>
        <v>1738911.1114500002</v>
      </c>
      <c r="L9" s="304">
        <f>zał2!N11</f>
        <v>1791078.4447935002</v>
      </c>
      <c r="M9" s="304">
        <f>zał2!O11</f>
        <v>1844810.7981373053</v>
      </c>
      <c r="N9" s="304">
        <f>zał2!P11</f>
        <v>1900155.1220814246</v>
      </c>
      <c r="O9" s="304">
        <f>zał2!Q11</f>
        <v>1957159.7757438673</v>
      </c>
      <c r="P9" s="304">
        <f>zał2!R11</f>
        <v>2015874.5690161833</v>
      </c>
      <c r="Q9" s="304">
        <f>zał2!S11</f>
        <v>2076350.8060866687</v>
      </c>
      <c r="R9" s="304">
        <f>zał2!T11</f>
        <v>2138641.3302692687</v>
      </c>
      <c r="S9" s="304">
        <f>zał2!U11</f>
        <v>2202800.570177347</v>
      </c>
      <c r="T9" s="304">
        <f>zał2!V11</f>
        <v>2268884.5872826674</v>
      </c>
      <c r="U9" s="304">
        <f>zał2!W11</f>
        <v>2336951.1249011476</v>
      </c>
      <c r="V9" s="304">
        <f>zał2!X11</f>
        <v>2407059.658648182</v>
      </c>
      <c r="W9" s="304">
        <f>zał2!Y11</f>
        <v>2479271.4484076276</v>
      </c>
      <c r="X9" s="304">
        <f>zał2!Z11</f>
        <v>2553649.5918598566</v>
      </c>
    </row>
    <row r="10" spans="2:24" ht="25.5" customHeight="1">
      <c r="B10" s="301" t="s">
        <v>405</v>
      </c>
      <c r="C10" s="302" t="e">
        <f>C11+C13</f>
        <v>#REF!</v>
      </c>
      <c r="D10" s="302">
        <f>D11+D13</f>
        <v>91672621.13</v>
      </c>
      <c r="E10" s="302">
        <f>E11+E13</f>
        <v>55981527</v>
      </c>
      <c r="F10" s="302">
        <f>F11+F13</f>
        <v>55064299</v>
      </c>
      <c r="G10" s="302">
        <f>G11+G13</f>
        <v>56641227.97</v>
      </c>
      <c r="H10" s="302">
        <f>H11+H13</f>
        <v>58340464.8091</v>
      </c>
      <c r="I10" s="302">
        <f>I11+I13</f>
        <v>60090678.753373004</v>
      </c>
      <c r="J10" s="302">
        <f>J11+J13</f>
        <v>61893399.115974195</v>
      </c>
      <c r="K10" s="302">
        <f>K11+K13</f>
        <v>63750201.08945342</v>
      </c>
      <c r="L10" s="302">
        <f>L11+L13</f>
        <v>65662707.122137025</v>
      </c>
      <c r="M10" s="302">
        <f>M11+M13</f>
        <v>67632588.33580114</v>
      </c>
      <c r="N10" s="302">
        <f>N11+N13</f>
        <v>69661565.98587517</v>
      </c>
      <c r="O10" s="302">
        <f>O11+O13</f>
        <v>71751412.96545142</v>
      </c>
      <c r="P10" s="302">
        <f>P11+P13</f>
        <v>73903955.35441495</v>
      </c>
      <c r="Q10" s="302">
        <f>Q11+Q13</f>
        <v>76121074.01504742</v>
      </c>
      <c r="R10" s="302">
        <f>R11+R13</f>
        <v>78404706.23549883</v>
      </c>
      <c r="S10" s="302">
        <f>S11+S13</f>
        <v>80756847.42256379</v>
      </c>
      <c r="T10" s="302">
        <f>T11+T13</f>
        <v>83179552.84524071</v>
      </c>
      <c r="U10" s="302">
        <f>U11+U13</f>
        <v>85674939.43059793</v>
      </c>
      <c r="V10" s="302">
        <f>V11+V13</f>
        <v>88245187.61351587</v>
      </c>
      <c r="W10" s="302">
        <f>W11+W13</f>
        <v>90892543.24192135</v>
      </c>
      <c r="X10" s="302">
        <f>X11+X13</f>
        <v>93619319.53917898</v>
      </c>
    </row>
    <row r="11" spans="2:24" ht="21" customHeight="1">
      <c r="B11" s="303" t="s">
        <v>406</v>
      </c>
      <c r="C11" s="305">
        <f>zał2!E13</f>
        <v>54856635.79</v>
      </c>
      <c r="D11" s="305">
        <f>zał2!F13</f>
        <v>60368454.61</v>
      </c>
      <c r="E11" s="305">
        <f>zał2!G13</f>
        <v>51033300</v>
      </c>
      <c r="F11" s="305">
        <f>zał2!H13</f>
        <v>52564299</v>
      </c>
      <c r="G11" s="305">
        <f>zał2!I13</f>
        <v>54141227.97</v>
      </c>
      <c r="H11" s="305">
        <f>zał2!J13</f>
        <v>55765464.8091</v>
      </c>
      <c r="I11" s="305">
        <f>zał2!K13</f>
        <v>57438428.753373004</v>
      </c>
      <c r="J11" s="305">
        <f>zał2!L13</f>
        <v>59161581.615974195</v>
      </c>
      <c r="K11" s="305">
        <f>zał2!M13</f>
        <v>60936429.06445342</v>
      </c>
      <c r="L11" s="305">
        <f>zał2!N13</f>
        <v>62764521.936387025</v>
      </c>
      <c r="M11" s="305">
        <f>zał2!O13</f>
        <v>64647457.59447864</v>
      </c>
      <c r="N11" s="305">
        <f>zał2!P13</f>
        <v>66586881.322312996</v>
      </c>
      <c r="O11" s="305">
        <f>zał2!Q13</f>
        <v>68584487.76198238</v>
      </c>
      <c r="P11" s="305">
        <f>zał2!R13</f>
        <v>70642022.39484185</v>
      </c>
      <c r="Q11" s="305">
        <f>zał2!S13</f>
        <v>72761283.0666871</v>
      </c>
      <c r="R11" s="305">
        <f>zał2!T13</f>
        <v>74944121.55868772</v>
      </c>
      <c r="S11" s="305">
        <f>zał2!U13</f>
        <v>77192445.20544834</v>
      </c>
      <c r="T11" s="305">
        <f>zał2!V13</f>
        <v>79508218.5616118</v>
      </c>
      <c r="U11" s="305">
        <f>zał2!W13</f>
        <v>81893465.11846015</v>
      </c>
      <c r="V11" s="305">
        <f>zał2!X13</f>
        <v>84350269.07201396</v>
      </c>
      <c r="W11" s="305">
        <f>zał2!Y13</f>
        <v>86880777.14417438</v>
      </c>
      <c r="X11" s="305">
        <f>zał2!Z13</f>
        <v>89487200.45849961</v>
      </c>
    </row>
    <row r="12" spans="2:24" ht="21" customHeight="1">
      <c r="B12" s="303" t="s">
        <v>407</v>
      </c>
      <c r="C12" s="306" t="e">
        <f>C78</f>
        <v>#REF!</v>
      </c>
      <c r="D12" s="306">
        <f>D78</f>
        <v>2400000</v>
      </c>
      <c r="E12" s="306">
        <f>E78</f>
        <v>2146338.07593</v>
      </c>
      <c r="F12" s="306">
        <f>F78</f>
        <v>1795048.5018600002</v>
      </c>
      <c r="G12" s="306">
        <f>G78</f>
        <v>1587870.7677900002</v>
      </c>
      <c r="H12" s="306">
        <f>H78</f>
        <v>1380693.0337200004</v>
      </c>
      <c r="I12" s="306">
        <f>I78</f>
        <v>1173515.2996500004</v>
      </c>
      <c r="J12" s="306">
        <f>J78</f>
        <v>966337.5655800004</v>
      </c>
      <c r="K12" s="306">
        <f>K78</f>
        <v>759159.2915100005</v>
      </c>
      <c r="L12" s="306">
        <f>L78</f>
        <v>612878.2040400004</v>
      </c>
      <c r="M12" s="306">
        <f>M78</f>
        <v>559445.8403700005</v>
      </c>
      <c r="N12" s="306">
        <f>N78</f>
        <v>506013.47670000046</v>
      </c>
      <c r="O12" s="306">
        <f>O78</f>
        <v>452581.1130300004</v>
      </c>
      <c r="P12" s="306">
        <f>P78</f>
        <v>399148.7493600004</v>
      </c>
      <c r="Q12" s="306">
        <f>Q78</f>
        <v>345716.3856900004</v>
      </c>
      <c r="R12" s="306">
        <f>R78</f>
        <v>292284.0220200004</v>
      </c>
      <c r="S12" s="306">
        <f>S78</f>
        <v>238851.65835000036</v>
      </c>
      <c r="T12" s="306">
        <f>T78</f>
        <v>185419.29468000037</v>
      </c>
      <c r="U12" s="306">
        <f>U78</f>
        <v>131986.93101000038</v>
      </c>
      <c r="V12" s="306">
        <f>V78</f>
        <v>78554.56734000039</v>
      </c>
      <c r="W12" s="306">
        <f>W78</f>
        <v>25121.48367000038</v>
      </c>
      <c r="X12" s="306">
        <f>X78</f>
        <v>0</v>
      </c>
    </row>
    <row r="13" spans="2:24" ht="22.5" customHeight="1">
      <c r="B13" s="303" t="s">
        <v>408</v>
      </c>
      <c r="C13" s="18" t="e">
        <f>zał1!#REF!</f>
        <v>#REF!</v>
      </c>
      <c r="D13" s="305">
        <f>zał2!F14</f>
        <v>31304166.52</v>
      </c>
      <c r="E13" s="305">
        <f>zał2!G14</f>
        <v>4948227</v>
      </c>
      <c r="F13" s="305">
        <f>zał2!H14</f>
        <v>2500000</v>
      </c>
      <c r="G13" s="305">
        <f>zał2!I14</f>
        <v>2500000</v>
      </c>
      <c r="H13" s="305">
        <f>zał2!J14</f>
        <v>2575000</v>
      </c>
      <c r="I13" s="305">
        <f>zał2!K14</f>
        <v>2652250</v>
      </c>
      <c r="J13" s="305">
        <f>zał2!L14</f>
        <v>2731817.5</v>
      </c>
      <c r="K13" s="305">
        <f>zał2!M14</f>
        <v>2813772.025</v>
      </c>
      <c r="L13" s="305">
        <f>zał2!N14</f>
        <v>2898185.1857499997</v>
      </c>
      <c r="M13" s="305">
        <f>zał2!O14</f>
        <v>2985130.7413224997</v>
      </c>
      <c r="N13" s="305">
        <f>zał2!P14</f>
        <v>3074684.663562175</v>
      </c>
      <c r="O13" s="305">
        <f>zał2!Q14</f>
        <v>3166925.2034690403</v>
      </c>
      <c r="P13" s="305">
        <f>zał2!R14</f>
        <v>3261932.9595731115</v>
      </c>
      <c r="Q13" s="305">
        <f>zał2!S14</f>
        <v>3359790.948360305</v>
      </c>
      <c r="R13" s="305">
        <f>zał2!T14</f>
        <v>3460584.676811114</v>
      </c>
      <c r="S13" s="305">
        <f>zał2!U14</f>
        <v>3564402.2171154474</v>
      </c>
      <c r="T13" s="305">
        <f>zał2!V14</f>
        <v>3671334.283628911</v>
      </c>
      <c r="U13" s="305">
        <f>zał2!W14</f>
        <v>3781474.312137778</v>
      </c>
      <c r="V13" s="305">
        <f>zał2!X14</f>
        <v>3894918.5415019114</v>
      </c>
      <c r="W13" s="305">
        <f>zał2!Y14</f>
        <v>4011766.0977469687</v>
      </c>
      <c r="X13" s="305">
        <f>zał2!Z14</f>
        <v>4132119.080679378</v>
      </c>
    </row>
    <row r="14" spans="2:24" ht="25.5" customHeight="1">
      <c r="B14" s="301" t="s">
        <v>409</v>
      </c>
      <c r="C14" s="302" t="e">
        <f>C6-C10</f>
        <v>#REF!</v>
      </c>
      <c r="D14" s="302">
        <f>D6-D10</f>
        <v>-1803765</v>
      </c>
      <c r="E14" s="302">
        <f>E6-E10</f>
        <v>14072300.029029995</v>
      </c>
      <c r="F14" s="302">
        <f>F6-F10</f>
        <v>12408835.462929934</v>
      </c>
      <c r="G14" s="302">
        <f>G6-G10</f>
        <v>12919932.977280766</v>
      </c>
      <c r="H14" s="302">
        <f>H6-H10</f>
        <v>13373342.223026454</v>
      </c>
      <c r="I14" s="302">
        <f>I6-I10</f>
        <v>13842393.895093776</v>
      </c>
      <c r="J14" s="302">
        <f>J6-J10</f>
        <v>14327620.510889791</v>
      </c>
      <c r="K14" s="302">
        <f>K6-K10</f>
        <v>14829572.523926921</v>
      </c>
      <c r="L14" s="302">
        <f>L6-L10</f>
        <v>15348818.922684193</v>
      </c>
      <c r="M14" s="302">
        <f>M6-M10</f>
        <v>15885947.849318415</v>
      </c>
      <c r="N14" s="302">
        <f>N6-N10</f>
        <v>16441567.238879204</v>
      </c>
      <c r="O14" s="302">
        <f>O6-O10</f>
        <v>17016305.47970335</v>
      </c>
      <c r="P14" s="302">
        <f>P6-P10</f>
        <v>17610812.095685616</v>
      </c>
      <c r="Q14" s="302">
        <f>Q6-Q10</f>
        <v>18225758.451146662</v>
      </c>
      <c r="R14" s="302">
        <f>R6-R10</f>
        <v>18861838.47904186</v>
      </c>
      <c r="S14" s="302">
        <f>S6-S10</f>
        <v>19519769.433279097</v>
      </c>
      <c r="T14" s="302">
        <f>T6-T10</f>
        <v>20200292.665939286</v>
      </c>
      <c r="U14" s="302">
        <f>U6-U10</f>
        <v>20904174.430218786</v>
      </c>
      <c r="V14" s="302">
        <f>V6-V10</f>
        <v>21632206.70994003</v>
      </c>
      <c r="W14" s="302">
        <f>W6-W10</f>
        <v>22385208.07650417</v>
      </c>
      <c r="X14" s="302">
        <f>X6-X10</f>
        <v>23164024.574188486</v>
      </c>
    </row>
    <row r="15" spans="2:24" ht="25.5" customHeight="1">
      <c r="B15" s="301" t="s">
        <v>410</v>
      </c>
      <c r="C15" s="302">
        <f>SUM(C16,C20,C26,C30,C33)</f>
        <v>9049134</v>
      </c>
      <c r="D15" s="302">
        <f>SUM(D16,D20,D26,D30,D33)</f>
        <v>10673140.89</v>
      </c>
      <c r="E15" s="302">
        <f>SUM(E16,E20,E26,E30,E33)</f>
        <v>9001163.51043</v>
      </c>
      <c r="F15" s="302">
        <f>SUM(F16,F20,F26,F30,F33)</f>
        <v>7649874.73636</v>
      </c>
      <c r="G15" s="302">
        <f>SUM(G16,G20,G26,G30,G33)</f>
        <v>5040833.00229</v>
      </c>
      <c r="H15" s="302">
        <f>SUM(H16,H20,H26,H30,H33)</f>
        <v>4833655.26822</v>
      </c>
      <c r="I15" s="302">
        <f>SUM(I16,I20,I26,I30,I33)</f>
        <v>4626477.534150001</v>
      </c>
      <c r="J15" s="302">
        <f>SUM(J16,J20,J26,J30,J33)</f>
        <v>4419299.80008</v>
      </c>
      <c r="K15" s="302">
        <f>SUM(K16,K20,K26,K30,K33)</f>
        <v>4212130.52601</v>
      </c>
      <c r="L15" s="302">
        <f>SUM(L16,L20,L26,L30,L33)</f>
        <v>3050896.3285400006</v>
      </c>
      <c r="M15" s="302">
        <f>SUM(M16,M20,M26,M30,M33)</f>
        <v>1449985.2348700005</v>
      </c>
      <c r="N15" s="302">
        <f>SUM(N16,N20,N26,N30,N33)</f>
        <v>1396552.8712000004</v>
      </c>
      <c r="O15" s="302">
        <f>SUM(O16,O20,O26,O30,O33)</f>
        <v>1343120.5075300005</v>
      </c>
      <c r="P15" s="302">
        <f>SUM(P16,P20,P26,P30,P33)</f>
        <v>1289688.1438600004</v>
      </c>
      <c r="Q15" s="302">
        <f>SUM(Q16,Q20,Q26,Q30,Q33)</f>
        <v>1236255.7801900003</v>
      </c>
      <c r="R15" s="302">
        <f>SUM(R16,R20,R26,R30,R33)</f>
        <v>1182823.4165200004</v>
      </c>
      <c r="S15" s="302">
        <f>SUM(S16,S20,S26,S30,S33)</f>
        <v>1129391.0528500006</v>
      </c>
      <c r="T15" s="302">
        <f>SUM(T16,T20,T26,T30,T33)</f>
        <v>1075958.6891800005</v>
      </c>
      <c r="U15" s="302">
        <f>SUM(U16,U20,U26,U30,U33)</f>
        <v>1022526.3255100005</v>
      </c>
      <c r="V15" s="302">
        <f>SUM(V16,V20,V26,V30,V33)</f>
        <v>969093.9618400005</v>
      </c>
      <c r="W15" s="302">
        <f>SUM(W16,W20,W26,W30,W33)</f>
        <v>915672.8781700004</v>
      </c>
      <c r="X15" s="302">
        <f>SUM(X16,X20,X26,X30,X33)</f>
        <v>418691.39450000005</v>
      </c>
    </row>
    <row r="16" spans="2:24" ht="24.75" customHeight="1">
      <c r="B16" s="301" t="s">
        <v>411</v>
      </c>
      <c r="C16" s="302">
        <f>C17+C19</f>
        <v>8267803.585</v>
      </c>
      <c r="D16" s="302">
        <f>D17+D19</f>
        <v>8943805.830500001</v>
      </c>
      <c r="E16" s="302">
        <f>E17+E19</f>
        <v>6826992.2785</v>
      </c>
      <c r="F16" s="302">
        <f>F17+F19</f>
        <v>6555186.3365</v>
      </c>
      <c r="G16" s="302">
        <f>G17+G19</f>
        <v>4001608.7945</v>
      </c>
      <c r="H16" s="302">
        <f>H17+H19</f>
        <v>3849895.2525</v>
      </c>
      <c r="I16" s="302">
        <f>I17+I19</f>
        <v>3698181.7105</v>
      </c>
      <c r="J16" s="302">
        <f>J17+J19</f>
        <v>3546468.1685</v>
      </c>
      <c r="K16" s="302">
        <f>K17+K19</f>
        <v>3394763.1765</v>
      </c>
      <c r="L16" s="302">
        <f>L17+L19</f>
        <v>2019326.73</v>
      </c>
      <c r="M16" s="302">
        <f>M17+M19</f>
        <v>471848</v>
      </c>
      <c r="N16" s="302">
        <f>N17+N19</f>
        <v>471848</v>
      </c>
      <c r="O16" s="302">
        <f>O17+O19</f>
        <v>471848</v>
      </c>
      <c r="P16" s="302">
        <f>P17+P19</f>
        <v>471848</v>
      </c>
      <c r="Q16" s="302">
        <f>Q17+Q19</f>
        <v>471848</v>
      </c>
      <c r="R16" s="302">
        <f>R17+R19</f>
        <v>471848</v>
      </c>
      <c r="S16" s="302">
        <f>S17+S19</f>
        <v>471848</v>
      </c>
      <c r="T16" s="302">
        <f>T17+T19</f>
        <v>471848</v>
      </c>
      <c r="U16" s="302">
        <f>U17+U19</f>
        <v>471848</v>
      </c>
      <c r="V16" s="302">
        <f>V17+V19</f>
        <v>471848</v>
      </c>
      <c r="W16" s="302">
        <f>W17+W19</f>
        <v>471860</v>
      </c>
      <c r="X16" s="302">
        <f>X17+X19</f>
        <v>0</v>
      </c>
    </row>
    <row r="17" spans="2:24" ht="23.25" customHeight="1">
      <c r="B17" s="303" t="s">
        <v>412</v>
      </c>
      <c r="C17" s="304">
        <f>C59</f>
        <v>6701134</v>
      </c>
      <c r="D17" s="304">
        <f>D59</f>
        <v>7281140.890000001</v>
      </c>
      <c r="E17" s="304">
        <f>E59</f>
        <v>5436134.04</v>
      </c>
      <c r="F17" s="304">
        <f>F59</f>
        <v>5436134.84</v>
      </c>
      <c r="G17" s="304">
        <f>G59</f>
        <v>3034270.84</v>
      </c>
      <c r="H17" s="304">
        <f>H59</f>
        <v>3034270.84</v>
      </c>
      <c r="I17" s="304">
        <f>I59</f>
        <v>3034270.84</v>
      </c>
      <c r="J17" s="304">
        <f>J59</f>
        <v>3034270.84</v>
      </c>
      <c r="K17" s="304">
        <f>K59</f>
        <v>3034279.84</v>
      </c>
      <c r="L17" s="304">
        <f>L59</f>
        <v>2019326.73</v>
      </c>
      <c r="M17" s="304">
        <f>M59</f>
        <v>471848</v>
      </c>
      <c r="N17" s="304">
        <f>N59</f>
        <v>471848</v>
      </c>
      <c r="O17" s="304">
        <f>O59</f>
        <v>471848</v>
      </c>
      <c r="P17" s="304">
        <f>P59</f>
        <v>471848</v>
      </c>
      <c r="Q17" s="304">
        <f>Q59</f>
        <v>471848</v>
      </c>
      <c r="R17" s="304">
        <f>R59</f>
        <v>471848</v>
      </c>
      <c r="S17" s="304">
        <f>S59</f>
        <v>471848</v>
      </c>
      <c r="T17" s="304">
        <f>T59</f>
        <v>471848</v>
      </c>
      <c r="U17" s="304">
        <f>U59</f>
        <v>471848</v>
      </c>
      <c r="V17" s="304">
        <f>V59</f>
        <v>471848</v>
      </c>
      <c r="W17" s="304">
        <f>W59</f>
        <v>471860</v>
      </c>
      <c r="X17" s="304">
        <f>X59</f>
        <v>0</v>
      </c>
    </row>
    <row r="18" spans="2:24" ht="26.25" customHeight="1">
      <c r="B18" s="303" t="s">
        <v>413</v>
      </c>
      <c r="C18" s="304">
        <f>C60</f>
        <v>1974529.9</v>
      </c>
      <c r="D18" s="304">
        <f>D60</f>
        <v>1245956.9</v>
      </c>
      <c r="E18" s="304">
        <f>E60</f>
        <v>1083800.9</v>
      </c>
      <c r="F18" s="304">
        <f>F60</f>
        <v>1083800.9</v>
      </c>
      <c r="G18" s="304">
        <f>G60</f>
        <v>860083.9</v>
      </c>
      <c r="H18" s="304">
        <f>H60</f>
        <v>860083.9</v>
      </c>
      <c r="I18" s="304">
        <f>I60</f>
        <v>860083.9</v>
      </c>
      <c r="J18" s="304">
        <f>J60</f>
        <v>860083.9</v>
      </c>
      <c r="K18" s="304">
        <f>K60</f>
        <v>860086.9</v>
      </c>
      <c r="L18" s="304">
        <f>L60</f>
        <v>388668.9</v>
      </c>
      <c r="M18" s="304">
        <f>M60</f>
        <v>75188</v>
      </c>
      <c r="N18" s="304">
        <f>N60</f>
        <v>75188</v>
      </c>
      <c r="O18" s="304">
        <f>O60</f>
        <v>75188</v>
      </c>
      <c r="P18" s="304">
        <f>P60</f>
        <v>75188</v>
      </c>
      <c r="Q18" s="304">
        <f>Q60</f>
        <v>75188</v>
      </c>
      <c r="R18" s="304">
        <f>R60</f>
        <v>75188</v>
      </c>
      <c r="S18" s="304">
        <f>S60</f>
        <v>75188</v>
      </c>
      <c r="T18" s="304">
        <f>T60</f>
        <v>75188</v>
      </c>
      <c r="U18" s="304">
        <f>U60</f>
        <v>75188</v>
      </c>
      <c r="V18" s="304">
        <f>V60</f>
        <v>75188</v>
      </c>
      <c r="W18" s="304">
        <f>W60</f>
        <v>75234</v>
      </c>
      <c r="X18" s="304">
        <f>X60</f>
        <v>0</v>
      </c>
    </row>
    <row r="19" spans="2:24" ht="24" customHeight="1">
      <c r="B19" s="303" t="s">
        <v>414</v>
      </c>
      <c r="C19" s="304">
        <f>C61</f>
        <v>1566669.5850000002</v>
      </c>
      <c r="D19" s="304">
        <f>D61</f>
        <v>1662664.9405000003</v>
      </c>
      <c r="E19" s="304">
        <f>E61</f>
        <v>1390858.2385000002</v>
      </c>
      <c r="F19" s="304">
        <f>F61</f>
        <v>1119051.4965000001</v>
      </c>
      <c r="G19" s="304">
        <f>G61</f>
        <v>967337.9545000002</v>
      </c>
      <c r="H19" s="304">
        <f>H61</f>
        <v>815624.4125000002</v>
      </c>
      <c r="I19" s="304">
        <f>I61</f>
        <v>663910.8705000002</v>
      </c>
      <c r="J19" s="304">
        <f>J61</f>
        <v>512197.32850000024</v>
      </c>
      <c r="K19" s="304">
        <f>K61</f>
        <v>360483.3365000002</v>
      </c>
      <c r="L19" s="304">
        <f>L61</f>
        <v>0</v>
      </c>
      <c r="M19" s="307">
        <v>0</v>
      </c>
      <c r="N19" s="307">
        <v>0</v>
      </c>
      <c r="O19" s="307">
        <v>0</v>
      </c>
      <c r="P19" s="307">
        <v>0</v>
      </c>
      <c r="Q19" s="307">
        <v>0</v>
      </c>
      <c r="R19" s="307">
        <v>0</v>
      </c>
      <c r="S19" s="307">
        <v>0</v>
      </c>
      <c r="T19" s="307">
        <v>0</v>
      </c>
      <c r="U19" s="307">
        <v>0</v>
      </c>
      <c r="V19" s="307">
        <v>0</v>
      </c>
      <c r="W19" s="307">
        <v>0</v>
      </c>
      <c r="X19" s="307">
        <v>0</v>
      </c>
    </row>
    <row r="20" spans="2:24" ht="24.75" customHeight="1">
      <c r="B20" s="301" t="s">
        <v>415</v>
      </c>
      <c r="C20" s="302">
        <f>C21+C23+C25</f>
        <v>433330.4149999998</v>
      </c>
      <c r="D20" s="302">
        <f>D21+D23+D25</f>
        <v>537335.0594999997</v>
      </c>
      <c r="E20" s="302">
        <f>E21+E23+E25</f>
        <v>1174171.2319299998</v>
      </c>
      <c r="F20" s="302">
        <f>F21+F23+F25</f>
        <v>1094688.3998600002</v>
      </c>
      <c r="G20" s="302">
        <f>G21+G23+G25</f>
        <v>1039224.20779</v>
      </c>
      <c r="H20" s="302">
        <f>H21+H23+H25</f>
        <v>983760.0157200003</v>
      </c>
      <c r="I20" s="302">
        <f>I21+I23+I25</f>
        <v>928295.8236500003</v>
      </c>
      <c r="J20" s="302">
        <f>J21+J23+J25</f>
        <v>872831.6315800003</v>
      </c>
      <c r="K20" s="302">
        <f>K21+K23+K25</f>
        <v>817367.3495100003</v>
      </c>
      <c r="L20" s="302">
        <f>L21+L23+L25</f>
        <v>1031569.5985400005</v>
      </c>
      <c r="M20" s="302">
        <f>M21+M23+M25</f>
        <v>978137.2348700005</v>
      </c>
      <c r="N20" s="302">
        <f>N21+N23+N25</f>
        <v>924704.8712000005</v>
      </c>
      <c r="O20" s="302">
        <f>O21+O23+O25</f>
        <v>871272.5075300005</v>
      </c>
      <c r="P20" s="302">
        <f>P21+P23+P25</f>
        <v>817840.1438600004</v>
      </c>
      <c r="Q20" s="302">
        <f>Q21+Q23+Q25</f>
        <v>764407.7801900004</v>
      </c>
      <c r="R20" s="302">
        <f>R21+R23+R25</f>
        <v>710975.4165200004</v>
      </c>
      <c r="S20" s="302">
        <f>S21+S23+S25</f>
        <v>657543.0528500004</v>
      </c>
      <c r="T20" s="302">
        <f>T21+T23+T25</f>
        <v>604110.6891800005</v>
      </c>
      <c r="U20" s="302">
        <f>U21+U23+U25</f>
        <v>550678.3255100005</v>
      </c>
      <c r="V20" s="302">
        <f>V21+V23+V25</f>
        <v>497245.96184000047</v>
      </c>
      <c r="W20" s="302">
        <f>W21+W23+W25</f>
        <v>443812.87817000045</v>
      </c>
      <c r="X20" s="302">
        <f>X21+X23+X25</f>
        <v>418691.39450000005</v>
      </c>
    </row>
    <row r="21" spans="2:24" ht="22.5" customHeight="1">
      <c r="B21" s="303" t="s">
        <v>416</v>
      </c>
      <c r="C21" s="308">
        <v>0</v>
      </c>
      <c r="D21" s="308">
        <f>D63</f>
        <v>0</v>
      </c>
      <c r="E21" s="309">
        <f>E63</f>
        <v>418691.39450000005</v>
      </c>
      <c r="F21" s="309">
        <f>F63</f>
        <v>418691.39450000005</v>
      </c>
      <c r="G21" s="309">
        <f>G63</f>
        <v>418691.39450000005</v>
      </c>
      <c r="H21" s="309">
        <f>H63</f>
        <v>418691.39450000005</v>
      </c>
      <c r="I21" s="309">
        <f>I63</f>
        <v>418691.39450000005</v>
      </c>
      <c r="J21" s="309">
        <f>J63</f>
        <v>418691.39450000005</v>
      </c>
      <c r="K21" s="309">
        <f>K63</f>
        <v>418691.39450000005</v>
      </c>
      <c r="L21" s="309">
        <f>L63</f>
        <v>418691.39450000005</v>
      </c>
      <c r="M21" s="309">
        <f>M63</f>
        <v>418691.39450000005</v>
      </c>
      <c r="N21" s="309">
        <f>N63</f>
        <v>418691.39450000005</v>
      </c>
      <c r="O21" s="309">
        <f>O63</f>
        <v>418691.39450000005</v>
      </c>
      <c r="P21" s="309">
        <f>P63</f>
        <v>418691.39450000005</v>
      </c>
      <c r="Q21" s="309">
        <f>Q63</f>
        <v>418691.39450000005</v>
      </c>
      <c r="R21" s="309">
        <f>R63</f>
        <v>418691.39450000005</v>
      </c>
      <c r="S21" s="309">
        <f>S63</f>
        <v>418691.39450000005</v>
      </c>
      <c r="T21" s="309">
        <f>T63</f>
        <v>418691.39450000005</v>
      </c>
      <c r="U21" s="309">
        <f>U63</f>
        <v>418691.39450000005</v>
      </c>
      <c r="V21" s="309">
        <f>V63</f>
        <v>418691.39450000005</v>
      </c>
      <c r="W21" s="309">
        <f>W63</f>
        <v>418691.39450000005</v>
      </c>
      <c r="X21" s="309">
        <f>X63</f>
        <v>418691.39450000005</v>
      </c>
    </row>
    <row r="22" spans="2:24" ht="33.75" customHeight="1">
      <c r="B22" s="303" t="s">
        <v>417</v>
      </c>
      <c r="C22" s="308">
        <v>0</v>
      </c>
      <c r="D22" s="308">
        <f>D64</f>
        <v>0</v>
      </c>
      <c r="E22" s="308">
        <f>E64</f>
        <v>131634.35</v>
      </c>
      <c r="F22" s="308">
        <f>F64</f>
        <v>131634.35</v>
      </c>
      <c r="G22" s="308">
        <f>G64</f>
        <v>131634.35</v>
      </c>
      <c r="H22" s="308">
        <f>H64</f>
        <v>131634.35</v>
      </c>
      <c r="I22" s="308">
        <f>I64</f>
        <v>131634.35</v>
      </c>
      <c r="J22" s="308">
        <f>J64</f>
        <v>131634.35</v>
      </c>
      <c r="K22" s="308">
        <f>K64</f>
        <v>131634.35</v>
      </c>
      <c r="L22" s="308">
        <f>L64</f>
        <v>131634.35</v>
      </c>
      <c r="M22" s="308">
        <f>M64</f>
        <v>131634.35</v>
      </c>
      <c r="N22" s="308">
        <f>N64</f>
        <v>131634.35</v>
      </c>
      <c r="O22" s="308">
        <f>O64</f>
        <v>131634.35</v>
      </c>
      <c r="P22" s="308">
        <f>P64</f>
        <v>131634.35</v>
      </c>
      <c r="Q22" s="308">
        <f>Q64</f>
        <v>131634.35</v>
      </c>
      <c r="R22" s="308">
        <f>R64</f>
        <v>131634.35</v>
      </c>
      <c r="S22" s="308">
        <f>S64</f>
        <v>131634.35</v>
      </c>
      <c r="T22" s="308">
        <f>T64</f>
        <v>131634.35</v>
      </c>
      <c r="U22" s="308">
        <f>U64</f>
        <v>131634.35</v>
      </c>
      <c r="V22" s="308">
        <f>V64</f>
        <v>131634.35</v>
      </c>
      <c r="W22" s="308">
        <f>W64</f>
        <v>131634.35</v>
      </c>
      <c r="X22" s="308">
        <f>X64</f>
        <v>131634.35</v>
      </c>
    </row>
    <row r="23" spans="2:24" ht="21" customHeight="1">
      <c r="B23" s="303" t="s">
        <v>418</v>
      </c>
      <c r="C23" s="307">
        <v>0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7">
        <v>0</v>
      </c>
      <c r="X23" s="307">
        <v>0</v>
      </c>
    </row>
    <row r="24" spans="2:24" ht="39.75" customHeight="1">
      <c r="B24" s="303" t="s">
        <v>419</v>
      </c>
      <c r="C24" s="307">
        <v>0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7">
        <v>0</v>
      </c>
      <c r="X24" s="307">
        <v>0</v>
      </c>
    </row>
    <row r="25" spans="2:24" ht="20.25" customHeight="1">
      <c r="B25" s="303" t="s">
        <v>420</v>
      </c>
      <c r="C25" s="308">
        <f>C65</f>
        <v>433330.4149999998</v>
      </c>
      <c r="D25" s="308">
        <f>D65</f>
        <v>537335.0594999997</v>
      </c>
      <c r="E25" s="308">
        <f>E65</f>
        <v>755479.8374299996</v>
      </c>
      <c r="F25" s="308">
        <f>F65</f>
        <v>675997.0053600001</v>
      </c>
      <c r="G25" s="308">
        <f>G65</f>
        <v>620532.81329</v>
      </c>
      <c r="H25" s="308">
        <f>H65</f>
        <v>565068.6212200002</v>
      </c>
      <c r="I25" s="308">
        <f>I65</f>
        <v>509604.4291500002</v>
      </c>
      <c r="J25" s="308">
        <f>J65</f>
        <v>454140.23708000017</v>
      </c>
      <c r="K25" s="308">
        <f>K65</f>
        <v>398675.95501000027</v>
      </c>
      <c r="L25" s="308">
        <f>L65</f>
        <v>612878.2040400004</v>
      </c>
      <c r="M25" s="308">
        <f>M65</f>
        <v>559445.8403700005</v>
      </c>
      <c r="N25" s="308">
        <f>N65</f>
        <v>506013.47670000046</v>
      </c>
      <c r="O25" s="308">
        <f>O65</f>
        <v>452581.1130300004</v>
      </c>
      <c r="P25" s="308">
        <f>P65</f>
        <v>399148.7493600004</v>
      </c>
      <c r="Q25" s="308">
        <f>Q65</f>
        <v>345716.3856900004</v>
      </c>
      <c r="R25" s="308">
        <f>R65</f>
        <v>292284.0220200004</v>
      </c>
      <c r="S25" s="308">
        <f>S65</f>
        <v>238851.65835000036</v>
      </c>
      <c r="T25" s="308">
        <f>T65</f>
        <v>185419.29468000037</v>
      </c>
      <c r="U25" s="308">
        <f>U65</f>
        <v>131986.93101000038</v>
      </c>
      <c r="V25" s="308">
        <f>V65</f>
        <v>78554.56734000039</v>
      </c>
      <c r="W25" s="308">
        <f>W65</f>
        <v>25121.48367000038</v>
      </c>
      <c r="X25" s="308">
        <f>X65</f>
        <v>0</v>
      </c>
    </row>
    <row r="26" spans="2:24" ht="28.5" customHeight="1">
      <c r="B26" s="301" t="s">
        <v>421</v>
      </c>
      <c r="C26" s="302">
        <f>C27+C28+C29</f>
        <v>0</v>
      </c>
      <c r="D26" s="302">
        <f>D27+D28+D29</f>
        <v>0</v>
      </c>
      <c r="E26" s="302">
        <f>E27+E28+E29</f>
        <v>0</v>
      </c>
      <c r="F26" s="302">
        <f>F27+F29</f>
        <v>0</v>
      </c>
      <c r="G26" s="302">
        <f>G27+G29</f>
        <v>0</v>
      </c>
      <c r="H26" s="302">
        <f>H27+H29</f>
        <v>0</v>
      </c>
      <c r="I26" s="302">
        <f>I27+I29</f>
        <v>0</v>
      </c>
      <c r="J26" s="302">
        <f>J27+J29</f>
        <v>0</v>
      </c>
      <c r="K26" s="302">
        <f>K27+K29</f>
        <v>0</v>
      </c>
      <c r="L26" s="302">
        <f>L27+L29</f>
        <v>0</v>
      </c>
      <c r="M26" s="302">
        <f>M27+M29</f>
        <v>0</v>
      </c>
      <c r="N26" s="302">
        <f>N27+N29</f>
        <v>0</v>
      </c>
      <c r="O26" s="302">
        <f>O27+O29</f>
        <v>0</v>
      </c>
      <c r="P26" s="302">
        <f>P27+P29</f>
        <v>0</v>
      </c>
      <c r="Q26" s="302">
        <f>Q27+Q29</f>
        <v>0</v>
      </c>
      <c r="R26" s="302">
        <f>R27+R29</f>
        <v>0</v>
      </c>
      <c r="S26" s="302">
        <f>S27+S29</f>
        <v>0</v>
      </c>
      <c r="T26" s="302">
        <f>T27+T29</f>
        <v>0</v>
      </c>
      <c r="U26" s="302">
        <f>U27+U29</f>
        <v>0</v>
      </c>
      <c r="V26" s="302">
        <f>V27+V29</f>
        <v>0</v>
      </c>
      <c r="W26" s="302">
        <f>W27+W29</f>
        <v>0</v>
      </c>
      <c r="X26" s="302">
        <f>X27+X29</f>
        <v>0</v>
      </c>
    </row>
    <row r="27" spans="2:24" ht="20.25" customHeight="1">
      <c r="B27" s="303" t="s">
        <v>422</v>
      </c>
      <c r="C27" s="308">
        <v>0</v>
      </c>
      <c r="D27" s="308">
        <v>0</v>
      </c>
      <c r="E27" s="308">
        <f>E68</f>
        <v>0</v>
      </c>
      <c r="F27" s="308">
        <f>F68</f>
        <v>0</v>
      </c>
      <c r="G27" s="308">
        <f>G68</f>
        <v>0</v>
      </c>
      <c r="H27" s="308">
        <f>H68</f>
        <v>0</v>
      </c>
      <c r="I27" s="308">
        <f>I68</f>
        <v>0</v>
      </c>
      <c r="J27" s="308">
        <f>J68</f>
        <v>0</v>
      </c>
      <c r="K27" s="308">
        <f>K68</f>
        <v>0</v>
      </c>
      <c r="L27" s="308">
        <f>L68</f>
        <v>0</v>
      </c>
      <c r="M27" s="308">
        <f>M68</f>
        <v>0</v>
      </c>
      <c r="N27" s="308">
        <f>N68</f>
        <v>0</v>
      </c>
      <c r="O27" s="308">
        <f>O68</f>
        <v>0</v>
      </c>
      <c r="P27" s="308">
        <f>P68</f>
        <v>0</v>
      </c>
      <c r="Q27" s="308">
        <f>Q68</f>
        <v>0</v>
      </c>
      <c r="R27" s="308">
        <f>R68</f>
        <v>0</v>
      </c>
      <c r="S27" s="308">
        <f>S68</f>
        <v>0</v>
      </c>
      <c r="T27" s="308">
        <f>T68</f>
        <v>0</v>
      </c>
      <c r="U27" s="308">
        <f>U68</f>
        <v>0</v>
      </c>
      <c r="V27" s="308">
        <f>V68</f>
        <v>0</v>
      </c>
      <c r="W27" s="308">
        <f>W68</f>
        <v>0</v>
      </c>
      <c r="X27" s="308">
        <f>X68</f>
        <v>0</v>
      </c>
    </row>
    <row r="28" spans="2:24" ht="30.75" customHeight="1">
      <c r="B28" s="303" t="s">
        <v>423</v>
      </c>
      <c r="C28" s="308">
        <v>0</v>
      </c>
      <c r="D28" s="308">
        <v>0</v>
      </c>
      <c r="E28" s="308">
        <f>E69</f>
        <v>0</v>
      </c>
      <c r="F28" s="308">
        <f>F69</f>
        <v>0</v>
      </c>
      <c r="G28" s="308">
        <f>G69</f>
        <v>0</v>
      </c>
      <c r="H28" s="308">
        <f>H69</f>
        <v>0</v>
      </c>
      <c r="I28" s="308">
        <f>I69</f>
        <v>0</v>
      </c>
      <c r="J28" s="308">
        <f>J69</f>
        <v>0</v>
      </c>
      <c r="K28" s="308">
        <f>K69</f>
        <v>0</v>
      </c>
      <c r="L28" s="308">
        <f>L69</f>
        <v>0</v>
      </c>
      <c r="M28" s="308">
        <f>M69</f>
        <v>0</v>
      </c>
      <c r="N28" s="308">
        <f>N69</f>
        <v>0</v>
      </c>
      <c r="O28" s="308">
        <f>O69</f>
        <v>0</v>
      </c>
      <c r="P28" s="308">
        <f>P69</f>
        <v>0</v>
      </c>
      <c r="Q28" s="308">
        <f>Q69</f>
        <v>0</v>
      </c>
      <c r="R28" s="308">
        <f>R69</f>
        <v>0</v>
      </c>
      <c r="S28" s="308">
        <f>S69</f>
        <v>0</v>
      </c>
      <c r="T28" s="308">
        <f>T69</f>
        <v>0</v>
      </c>
      <c r="U28" s="308">
        <f>U69</f>
        <v>0</v>
      </c>
      <c r="V28" s="308">
        <f>V69</f>
        <v>0</v>
      </c>
      <c r="W28" s="308">
        <f>W69</f>
        <v>0</v>
      </c>
      <c r="X28" s="308">
        <f>X69</f>
        <v>0</v>
      </c>
    </row>
    <row r="29" spans="2:24" ht="20.25" customHeight="1">
      <c r="B29" s="303" t="s">
        <v>424</v>
      </c>
      <c r="C29" s="308">
        <v>0</v>
      </c>
      <c r="D29" s="308">
        <f>D70</f>
        <v>0</v>
      </c>
      <c r="E29" s="308">
        <f>E70</f>
        <v>0</v>
      </c>
      <c r="F29" s="308">
        <f>F70</f>
        <v>0</v>
      </c>
      <c r="G29" s="308">
        <f>G70</f>
        <v>0</v>
      </c>
      <c r="H29" s="308">
        <f>H70</f>
        <v>0</v>
      </c>
      <c r="I29" s="308">
        <f>I70</f>
        <v>0</v>
      </c>
      <c r="J29" s="308">
        <f>J70</f>
        <v>0</v>
      </c>
      <c r="K29" s="308">
        <f>K70</f>
        <v>0</v>
      </c>
      <c r="L29" s="308">
        <f>L70</f>
        <v>0</v>
      </c>
      <c r="M29" s="308">
        <f>M70</f>
        <v>0</v>
      </c>
      <c r="N29" s="308">
        <f>N70</f>
        <v>0</v>
      </c>
      <c r="O29" s="308">
        <f>O70</f>
        <v>0</v>
      </c>
      <c r="P29" s="308">
        <f>P70</f>
        <v>0</v>
      </c>
      <c r="Q29" s="308">
        <f>Q70</f>
        <v>0</v>
      </c>
      <c r="R29" s="308">
        <f>R70</f>
        <v>0</v>
      </c>
      <c r="S29" s="308">
        <f>S70</f>
        <v>0</v>
      </c>
      <c r="T29" s="308">
        <f>T70</f>
        <v>0</v>
      </c>
      <c r="U29" s="308">
        <f>U70</f>
        <v>0</v>
      </c>
      <c r="V29" s="308">
        <f>V70</f>
        <v>0</v>
      </c>
      <c r="W29" s="308">
        <f>W70</f>
        <v>0</v>
      </c>
      <c r="X29" s="308">
        <f>X70</f>
        <v>0</v>
      </c>
    </row>
    <row r="30" spans="2:24" ht="24" customHeight="1">
      <c r="B30" s="301" t="s">
        <v>425</v>
      </c>
      <c r="C30" s="302">
        <f>C31+C32</f>
        <v>0</v>
      </c>
      <c r="D30" s="302">
        <f>D31+D32</f>
        <v>0</v>
      </c>
      <c r="E30" s="302">
        <f>E31+E32</f>
        <v>0</v>
      </c>
      <c r="F30" s="302">
        <f>F31+F32</f>
        <v>0</v>
      </c>
      <c r="G30" s="302">
        <f>G31+G32</f>
        <v>0</v>
      </c>
      <c r="H30" s="302">
        <f>H31+H32</f>
        <v>0</v>
      </c>
      <c r="I30" s="302">
        <f>I31+I32</f>
        <v>0</v>
      </c>
      <c r="J30" s="302">
        <f>J31+J32</f>
        <v>0</v>
      </c>
      <c r="K30" s="302">
        <f>K31+K32</f>
        <v>0</v>
      </c>
      <c r="L30" s="302">
        <f>L31+L32</f>
        <v>0</v>
      </c>
      <c r="M30" s="302">
        <f>M31+M32</f>
        <v>0</v>
      </c>
      <c r="N30" s="302">
        <f>N31+N32</f>
        <v>0</v>
      </c>
      <c r="O30" s="302">
        <f>O31+O32</f>
        <v>0</v>
      </c>
      <c r="P30" s="302">
        <f>P31+P32</f>
        <v>0</v>
      </c>
      <c r="Q30" s="302">
        <f>Q31+Q32</f>
        <v>0</v>
      </c>
      <c r="R30" s="302">
        <f>R31+R32</f>
        <v>0</v>
      </c>
      <c r="S30" s="302">
        <f>S31+S32</f>
        <v>0</v>
      </c>
      <c r="T30" s="302">
        <f>T31+T32</f>
        <v>0</v>
      </c>
      <c r="U30" s="302">
        <f>U31+U32</f>
        <v>0</v>
      </c>
      <c r="V30" s="302">
        <f>V31+V32</f>
        <v>0</v>
      </c>
      <c r="W30" s="302">
        <f>W31+W32</f>
        <v>0</v>
      </c>
      <c r="X30" s="302">
        <f>X31+X32</f>
        <v>0</v>
      </c>
    </row>
    <row r="31" spans="2:24" ht="39.75" customHeight="1">
      <c r="B31" s="303" t="s">
        <v>426</v>
      </c>
      <c r="C31" s="307">
        <v>0</v>
      </c>
      <c r="D31" s="307">
        <v>0</v>
      </c>
      <c r="E31" s="307"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>
        <v>0</v>
      </c>
      <c r="N31" s="307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7">
        <v>0</v>
      </c>
      <c r="X31" s="307">
        <v>0</v>
      </c>
    </row>
    <row r="32" spans="2:24" ht="24" customHeight="1">
      <c r="B32" s="303" t="s">
        <v>427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7">
        <v>0</v>
      </c>
      <c r="X32" s="307">
        <v>0</v>
      </c>
    </row>
    <row r="33" spans="2:24" ht="27" customHeight="1">
      <c r="B33" s="301" t="s">
        <v>428</v>
      </c>
      <c r="C33" s="275">
        <f>zał2!E36</f>
        <v>348000</v>
      </c>
      <c r="D33" s="275">
        <f>zał2!F36</f>
        <v>1192000</v>
      </c>
      <c r="E33" s="275">
        <f>zał2!G36</f>
        <v>1000000</v>
      </c>
      <c r="F33" s="275">
        <f>zał2!H36</f>
        <v>0</v>
      </c>
      <c r="G33" s="275">
        <f>zał2!I36</f>
        <v>0</v>
      </c>
      <c r="H33" s="275">
        <f>zał2!J36</f>
        <v>0</v>
      </c>
      <c r="I33" s="275">
        <f>zał2!K36</f>
        <v>0</v>
      </c>
      <c r="J33" s="275">
        <f>zał2!L36</f>
        <v>0</v>
      </c>
      <c r="K33" s="275">
        <f>zał2!M36</f>
        <v>0</v>
      </c>
      <c r="L33" s="275">
        <f>zał2!N36</f>
        <v>0</v>
      </c>
      <c r="M33" s="275">
        <f>zał2!O36</f>
        <v>0</v>
      </c>
      <c r="N33" s="275">
        <f>zał2!P36</f>
        <v>0</v>
      </c>
      <c r="O33" s="275">
        <f>zał2!Q36</f>
        <v>0</v>
      </c>
      <c r="P33" s="275">
        <f>zał2!R36</f>
        <v>0</v>
      </c>
      <c r="Q33" s="275">
        <f>zał2!S36</f>
        <v>0</v>
      </c>
      <c r="R33" s="275">
        <f>zał2!T36</f>
        <v>0</v>
      </c>
      <c r="S33" s="275">
        <f>zał2!U36</f>
        <v>0</v>
      </c>
      <c r="T33" s="275">
        <f>zał2!V36</f>
        <v>0</v>
      </c>
      <c r="U33" s="275">
        <f>zał2!W36</f>
        <v>0</v>
      </c>
      <c r="V33" s="275">
        <f>zał2!X36</f>
        <v>0</v>
      </c>
      <c r="W33" s="275">
        <f>zał2!Y36</f>
        <v>0</v>
      </c>
      <c r="X33" s="275">
        <f>zał2!Z36</f>
        <v>0</v>
      </c>
    </row>
    <row r="34" spans="2:24" ht="29.25" customHeight="1">
      <c r="B34" s="301" t="s">
        <v>429</v>
      </c>
      <c r="C34" s="310">
        <f>C73</f>
        <v>40534439.7</v>
      </c>
      <c r="D34" s="310">
        <f>D73</f>
        <v>41627126.7</v>
      </c>
      <c r="E34" s="310">
        <f>E73</f>
        <v>35772301.2655</v>
      </c>
      <c r="F34" s="310">
        <f>F73</f>
        <v>29917475.031000003</v>
      </c>
      <c r="G34" s="310">
        <f>G73</f>
        <v>26464512.796500005</v>
      </c>
      <c r="H34" s="310">
        <f>H73</f>
        <v>23011550.562000003</v>
      </c>
      <c r="I34" s="310">
        <f>I73</f>
        <v>19558588.3275</v>
      </c>
      <c r="J34" s="310">
        <f>J73</f>
        <v>16105626.093000002</v>
      </c>
      <c r="K34" s="310">
        <f>K73</f>
        <v>12652654.858500002</v>
      </c>
      <c r="L34" s="310">
        <f>L73</f>
        <v>10214636.734000001</v>
      </c>
      <c r="M34" s="310">
        <f>M73</f>
        <v>9324097.3395</v>
      </c>
      <c r="N34" s="310">
        <f>N73</f>
        <v>8433557.945</v>
      </c>
      <c r="O34" s="310">
        <f>O73</f>
        <v>7543018.550500001</v>
      </c>
      <c r="P34" s="310">
        <f>P73</f>
        <v>6652479.156000001</v>
      </c>
      <c r="Q34" s="310">
        <f>Q73</f>
        <v>5761939.761500001</v>
      </c>
      <c r="R34" s="310">
        <f>R73</f>
        <v>4871400.367000001</v>
      </c>
      <c r="S34" s="310">
        <f>S73</f>
        <v>3980860.972500001</v>
      </c>
      <c r="T34" s="310">
        <f>T73</f>
        <v>3090321.578000001</v>
      </c>
      <c r="U34" s="310">
        <f>U73</f>
        <v>2199782.183500001</v>
      </c>
      <c r="V34" s="310">
        <f>V73</f>
        <v>1309242.7890000013</v>
      </c>
      <c r="W34" s="310">
        <f>W73</f>
        <v>418691.3945000011</v>
      </c>
      <c r="X34" s="310">
        <f>X73</f>
        <v>0</v>
      </c>
    </row>
    <row r="35" spans="2:24" ht="24.75" customHeight="1">
      <c r="B35" s="303" t="s">
        <v>430</v>
      </c>
      <c r="C35" s="18">
        <f>zał2!E49</f>
        <v>40534439.7</v>
      </c>
      <c r="D35" s="311">
        <f>D73</f>
        <v>41627126.7</v>
      </c>
      <c r="E35" s="311">
        <f>E73</f>
        <v>35772301.2655</v>
      </c>
      <c r="F35" s="311">
        <f>F73</f>
        <v>29917475.031000003</v>
      </c>
      <c r="G35" s="311">
        <f>G73</f>
        <v>26464512.796500005</v>
      </c>
      <c r="H35" s="311">
        <f>H73</f>
        <v>23011550.562000003</v>
      </c>
      <c r="I35" s="311">
        <f>I73</f>
        <v>19558588.3275</v>
      </c>
      <c r="J35" s="311">
        <f>J73</f>
        <v>16105626.093000002</v>
      </c>
      <c r="K35" s="311">
        <f>K73</f>
        <v>12652654.858500002</v>
      </c>
      <c r="L35" s="311">
        <f>L73</f>
        <v>10214636.734000001</v>
      </c>
      <c r="M35" s="311">
        <f>M73</f>
        <v>9324097.3395</v>
      </c>
      <c r="N35" s="311">
        <f>N73</f>
        <v>8433557.945</v>
      </c>
      <c r="O35" s="311">
        <f>O73</f>
        <v>7543018.550500001</v>
      </c>
      <c r="P35" s="311">
        <f>P73</f>
        <v>6652479.156000001</v>
      </c>
      <c r="Q35" s="311">
        <f>Q73</f>
        <v>5761939.761500001</v>
      </c>
      <c r="R35" s="311">
        <f>R73</f>
        <v>4871400.367000001</v>
      </c>
      <c r="S35" s="311">
        <f>S73</f>
        <v>3980860.972500001</v>
      </c>
      <c r="T35" s="311">
        <f>T73</f>
        <v>3090321.578000001</v>
      </c>
      <c r="U35" s="311">
        <f>U73</f>
        <v>2199782.183500001</v>
      </c>
      <c r="V35" s="311">
        <f>V73</f>
        <v>1309242.7890000013</v>
      </c>
      <c r="W35" s="311">
        <f>W73</f>
        <v>418691.3945000011</v>
      </c>
      <c r="X35" s="311">
        <f>X73</f>
        <v>0</v>
      </c>
    </row>
    <row r="36" spans="2:24" ht="25.5" customHeight="1">
      <c r="B36" s="303" t="s">
        <v>431</v>
      </c>
      <c r="C36" s="18">
        <f>zał2!E50</f>
        <v>8929764.1</v>
      </c>
      <c r="D36" s="311">
        <f>D74</f>
        <v>10316494.2</v>
      </c>
      <c r="E36" s="311">
        <f>E74</f>
        <v>9101058.95</v>
      </c>
      <c r="F36" s="311">
        <f>F74</f>
        <v>7885623.699999999</v>
      </c>
      <c r="G36" s="311">
        <f>G74</f>
        <v>6893905.449999999</v>
      </c>
      <c r="H36" s="311">
        <f>H74</f>
        <v>5902187.199999999</v>
      </c>
      <c r="I36" s="311">
        <f>I74</f>
        <v>4910468.949999999</v>
      </c>
      <c r="J36" s="311">
        <f>J74</f>
        <v>3918750.6999999993</v>
      </c>
      <c r="K36" s="311">
        <f>K74</f>
        <v>2927029.4499999993</v>
      </c>
      <c r="L36" s="311">
        <f>L74</f>
        <v>2406726.1999999993</v>
      </c>
      <c r="M36" s="311">
        <f>M74</f>
        <v>2199903.849999999</v>
      </c>
      <c r="N36" s="311">
        <f>N74</f>
        <v>1993081.499999999</v>
      </c>
      <c r="O36" s="311">
        <f>O74</f>
        <v>1786259.149999999</v>
      </c>
      <c r="P36" s="311">
        <f>P74</f>
        <v>1579436.7999999989</v>
      </c>
      <c r="Q36" s="311">
        <f>Q74</f>
        <v>1372614.4499999988</v>
      </c>
      <c r="R36" s="311">
        <f>R74</f>
        <v>1165792.0999999987</v>
      </c>
      <c r="S36" s="311">
        <f>S74</f>
        <v>958969.7499999987</v>
      </c>
      <c r="T36" s="311">
        <f>T74</f>
        <v>752147.3999999987</v>
      </c>
      <c r="U36" s="311">
        <f>U74</f>
        <v>545325.0499999988</v>
      </c>
      <c r="V36" s="311">
        <f>V74</f>
        <v>338502.6999999988</v>
      </c>
      <c r="W36" s="311">
        <f>W74</f>
        <v>131634.34999999878</v>
      </c>
      <c r="X36" s="311">
        <f>X74</f>
        <v>-1.2223608791828156E-09</v>
      </c>
    </row>
    <row r="37" spans="2:24" ht="23.25" customHeight="1">
      <c r="B37" s="303" t="s">
        <v>432</v>
      </c>
      <c r="C37" s="307">
        <v>0</v>
      </c>
      <c r="D37" s="307">
        <v>0</v>
      </c>
      <c r="E37" s="307">
        <v>0</v>
      </c>
      <c r="F37" s="307">
        <v>0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307">
        <v>0</v>
      </c>
      <c r="V37" s="307">
        <v>0</v>
      </c>
      <c r="W37" s="307">
        <v>0</v>
      </c>
      <c r="X37" s="307">
        <v>0</v>
      </c>
    </row>
    <row r="38" spans="2:24" ht="26.25" customHeight="1">
      <c r="B38" s="303" t="s">
        <v>433</v>
      </c>
      <c r="C38" s="307">
        <v>0</v>
      </c>
      <c r="D38" s="307">
        <v>0</v>
      </c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307">
        <v>0</v>
      </c>
      <c r="L38" s="307">
        <v>0</v>
      </c>
      <c r="M38" s="307">
        <v>0</v>
      </c>
      <c r="N38" s="307">
        <v>0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307">
        <v>0</v>
      </c>
      <c r="U38" s="307">
        <v>0</v>
      </c>
      <c r="V38" s="307">
        <v>0</v>
      </c>
      <c r="W38" s="307">
        <v>0</v>
      </c>
      <c r="X38" s="307">
        <v>0</v>
      </c>
    </row>
    <row r="39" spans="2:24" ht="18.75" customHeight="1">
      <c r="B39" s="303" t="s">
        <v>434</v>
      </c>
      <c r="C39" s="307">
        <v>0</v>
      </c>
      <c r="D39" s="307">
        <v>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07">
        <v>0</v>
      </c>
      <c r="K39" s="307">
        <v>0</v>
      </c>
      <c r="L39" s="307">
        <v>0</v>
      </c>
      <c r="M39" s="307">
        <v>0</v>
      </c>
      <c r="N39" s="307">
        <v>0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307">
        <v>0</v>
      </c>
      <c r="U39" s="307">
        <v>0</v>
      </c>
      <c r="V39" s="307">
        <v>0</v>
      </c>
      <c r="W39" s="307">
        <v>0</v>
      </c>
      <c r="X39" s="307">
        <v>0</v>
      </c>
    </row>
    <row r="40" spans="2:24" ht="27" customHeight="1">
      <c r="B40" s="303" t="s">
        <v>435</v>
      </c>
      <c r="C40" s="307">
        <v>0</v>
      </c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0</v>
      </c>
      <c r="J40" s="307">
        <v>0</v>
      </c>
      <c r="K40" s="307">
        <v>0</v>
      </c>
      <c r="L40" s="307">
        <v>0</v>
      </c>
      <c r="M40" s="307">
        <v>0</v>
      </c>
      <c r="N40" s="307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7">
        <v>0</v>
      </c>
      <c r="X40" s="307">
        <v>0</v>
      </c>
    </row>
    <row r="41" spans="2:24" ht="42" customHeight="1">
      <c r="B41" s="301" t="s">
        <v>436</v>
      </c>
      <c r="C41" s="312" t="s">
        <v>14</v>
      </c>
      <c r="D41" s="312" t="s">
        <v>14</v>
      </c>
      <c r="E41" s="312" t="s">
        <v>14</v>
      </c>
      <c r="F41" s="313">
        <v>0</v>
      </c>
      <c r="G41" s="313">
        <v>0</v>
      </c>
      <c r="H41" s="313">
        <v>0</v>
      </c>
      <c r="I41" s="313">
        <v>0</v>
      </c>
      <c r="J41" s="313">
        <v>0</v>
      </c>
      <c r="K41" s="313">
        <v>0</v>
      </c>
      <c r="L41" s="313">
        <v>0</v>
      </c>
      <c r="M41" s="313">
        <v>0</v>
      </c>
      <c r="N41" s="313">
        <v>0</v>
      </c>
      <c r="O41" s="313">
        <v>0</v>
      </c>
      <c r="P41" s="313">
        <v>0</v>
      </c>
      <c r="Q41" s="313">
        <v>0</v>
      </c>
      <c r="R41" s="313">
        <v>0</v>
      </c>
      <c r="S41" s="313">
        <v>0</v>
      </c>
      <c r="T41" s="313">
        <v>0</v>
      </c>
      <c r="U41" s="313">
        <v>0</v>
      </c>
      <c r="V41" s="313">
        <v>0</v>
      </c>
      <c r="W41" s="313">
        <v>0</v>
      </c>
      <c r="X41" s="313">
        <v>0</v>
      </c>
    </row>
    <row r="42" spans="2:24" ht="27" customHeight="1">
      <c r="B42" s="301" t="s">
        <v>437</v>
      </c>
      <c r="C42" s="312">
        <f>SUM(C34/$C6)</f>
        <v>0.5577560801365992</v>
      </c>
      <c r="D42" s="312">
        <f>SUM(D34/$D6)</f>
        <v>0.4631985817176107</v>
      </c>
      <c r="E42" s="312">
        <f>SUM(E34/$E6)</f>
        <v>0.5106402145692357</v>
      </c>
      <c r="F42" s="312" t="s">
        <v>14</v>
      </c>
      <c r="G42" s="312" t="s">
        <v>14</v>
      </c>
      <c r="H42" s="312" t="s">
        <v>14</v>
      </c>
      <c r="I42" s="312" t="s">
        <v>14</v>
      </c>
      <c r="J42" s="312" t="s">
        <v>14</v>
      </c>
      <c r="K42" s="312" t="s">
        <v>14</v>
      </c>
      <c r="L42" s="312" t="s">
        <v>14</v>
      </c>
      <c r="M42" s="312" t="s">
        <v>14</v>
      </c>
      <c r="N42" s="312" t="s">
        <v>14</v>
      </c>
      <c r="O42" s="312" t="s">
        <v>14</v>
      </c>
      <c r="P42" s="312" t="s">
        <v>14</v>
      </c>
      <c r="Q42" s="312" t="s">
        <v>14</v>
      </c>
      <c r="R42" s="312" t="s">
        <v>14</v>
      </c>
      <c r="S42" s="312" t="s">
        <v>14</v>
      </c>
      <c r="T42" s="312" t="s">
        <v>14</v>
      </c>
      <c r="U42" s="312" t="s">
        <v>14</v>
      </c>
      <c r="V42" s="312" t="s">
        <v>14</v>
      </c>
      <c r="W42" s="312" t="s">
        <v>14</v>
      </c>
      <c r="X42" s="312" t="s">
        <v>14</v>
      </c>
    </row>
    <row r="43" spans="2:24" ht="28.5" customHeight="1">
      <c r="B43" s="301" t="s">
        <v>438</v>
      </c>
      <c r="C43" s="312">
        <f>SUM((C34-C36)/C$6)</f>
        <v>0.4348820436919674</v>
      </c>
      <c r="D43" s="312">
        <f>SUM((D34-D36)/D$6)</f>
        <v>0.3484035943965676</v>
      </c>
      <c r="E43" s="312">
        <f>SUM((E34-E36)/E$6)</f>
        <v>0.38072498600893795</v>
      </c>
      <c r="F43" s="312" t="s">
        <v>14</v>
      </c>
      <c r="G43" s="312" t="s">
        <v>14</v>
      </c>
      <c r="H43" s="312" t="s">
        <v>14</v>
      </c>
      <c r="I43" s="312" t="s">
        <v>14</v>
      </c>
      <c r="J43" s="312" t="s">
        <v>14</v>
      </c>
      <c r="K43" s="312" t="s">
        <v>14</v>
      </c>
      <c r="L43" s="312" t="s">
        <v>14</v>
      </c>
      <c r="M43" s="312" t="s">
        <v>14</v>
      </c>
      <c r="N43" s="312" t="s">
        <v>14</v>
      </c>
      <c r="O43" s="312" t="s">
        <v>14</v>
      </c>
      <c r="P43" s="312" t="s">
        <v>14</v>
      </c>
      <c r="Q43" s="312" t="s">
        <v>14</v>
      </c>
      <c r="R43" s="312" t="s">
        <v>14</v>
      </c>
      <c r="S43" s="312" t="s">
        <v>14</v>
      </c>
      <c r="T43" s="312" t="s">
        <v>14</v>
      </c>
      <c r="U43" s="312" t="s">
        <v>14</v>
      </c>
      <c r="V43" s="312" t="s">
        <v>14</v>
      </c>
      <c r="W43" s="312" t="s">
        <v>14</v>
      </c>
      <c r="X43" s="312" t="s">
        <v>14</v>
      </c>
    </row>
    <row r="44" spans="2:24" ht="41.25" customHeight="1">
      <c r="B44" s="301" t="s">
        <v>439</v>
      </c>
      <c r="C44" s="312">
        <f>SUM(C15/C6)</f>
        <v>0.12451657271756549</v>
      </c>
      <c r="D44" s="312">
        <f>SUM(D15/D6)</f>
        <v>0.11876351107174152</v>
      </c>
      <c r="E44" s="312">
        <f>SUM(E15/E6)</f>
        <v>0.1284892473711673</v>
      </c>
      <c r="F44" s="312" t="s">
        <v>14</v>
      </c>
      <c r="G44" s="312" t="s">
        <v>14</v>
      </c>
      <c r="H44" s="312" t="s">
        <v>14</v>
      </c>
      <c r="I44" s="312" t="s">
        <v>14</v>
      </c>
      <c r="J44" s="312" t="s">
        <v>14</v>
      </c>
      <c r="K44" s="312" t="s">
        <v>14</v>
      </c>
      <c r="L44" s="312" t="s">
        <v>14</v>
      </c>
      <c r="M44" s="312" t="s">
        <v>14</v>
      </c>
      <c r="N44" s="312" t="s">
        <v>14</v>
      </c>
      <c r="O44" s="312" t="s">
        <v>14</v>
      </c>
      <c r="P44" s="312" t="s">
        <v>14</v>
      </c>
      <c r="Q44" s="312" t="s">
        <v>14</v>
      </c>
      <c r="R44" s="312" t="s">
        <v>14</v>
      </c>
      <c r="S44" s="312" t="s">
        <v>14</v>
      </c>
      <c r="T44" s="312" t="s">
        <v>14</v>
      </c>
      <c r="U44" s="312" t="s">
        <v>14</v>
      </c>
      <c r="V44" s="312" t="s">
        <v>14</v>
      </c>
      <c r="W44" s="312" t="s">
        <v>14</v>
      </c>
      <c r="X44" s="312" t="s">
        <v>14</v>
      </c>
    </row>
    <row r="45" spans="2:24" ht="51" customHeight="1">
      <c r="B45" s="301" t="s">
        <v>440</v>
      </c>
      <c r="C45" s="312">
        <v>0.08276115841166476</v>
      </c>
      <c r="D45" s="312">
        <v>0.1051869566527987</v>
      </c>
      <c r="E45" s="312">
        <f>SUM((E15-E18-E22)/E6)</f>
        <v>0.11113922808533543</v>
      </c>
      <c r="F45" s="312">
        <f>SUM((F15-F18-F22-F28)/F6)</f>
        <v>0.09536298465421245</v>
      </c>
      <c r="G45" s="312">
        <f>SUM((G15-G18-G22)/G6)</f>
        <v>0.058209418835875326</v>
      </c>
      <c r="H45" s="312">
        <f>SUM((H15-H18-H22)/H6)</f>
        <v>0.053573184540305935</v>
      </c>
      <c r="I45" s="312">
        <f>SUM((I15-I18-I22)/I6)</f>
        <v>0.04916283273430782</v>
      </c>
      <c r="J45" s="312">
        <f>SUM((J15-J18-J22)/J6)</f>
        <v>0.044968980562836165</v>
      </c>
      <c r="K45" s="312">
        <f>SUM((K15-K18-K22)/K6)</f>
        <v>0.04098267439474575</v>
      </c>
      <c r="L45" s="312">
        <f>SUM((L15-L18-L22)/L6)</f>
        <v>0.031237444868522785</v>
      </c>
      <c r="M45" s="312">
        <f>SUM((M15-M18-M22)/M6)</f>
        <v>0.014884873965158096</v>
      </c>
      <c r="N45" s="312">
        <f>SUM((N15-N18-N22)/N6)</f>
        <v>0.013817505549936904</v>
      </c>
      <c r="O45" s="312">
        <f>SUM((O15-O18-O22)/O6)</f>
        <v>0.012800803911976891</v>
      </c>
      <c r="P45" s="312">
        <f>SUM((P15-P18-P22)/P6)</f>
        <v>0.01183268912801909</v>
      </c>
      <c r="Q45" s="312">
        <f>SUM((Q15-Q18-Q22)/Q6)</f>
        <v>0.010911160483939534</v>
      </c>
      <c r="R45" s="312">
        <f>SUM((R15-R18-R22)/R6)</f>
        <v>0.010034293593798186</v>
      </c>
      <c r="S45" s="312">
        <f>SUM((S15-S18-S22)/S6)</f>
        <v>0.009200237620464203</v>
      </c>
      <c r="T45" s="312">
        <f>SUM((T15-T18-T22)/T6)</f>
        <v>0.008407212594315667</v>
      </c>
      <c r="U45" s="312">
        <f>SUM((U15-U18-U22)/U6)</f>
        <v>0.007653506826630597</v>
      </c>
      <c r="V45" s="312">
        <f>SUM((V15-V18-V22)/V6)</f>
        <v>0.0069374744144007775</v>
      </c>
      <c r="W45" s="312">
        <f>SUM((W15-W18-W22)/W6)</f>
        <v>0.006257226330151451</v>
      </c>
      <c r="X45" s="312">
        <f>SUM((X15-X18-X22)/X6)</f>
        <v>0.002458030695039349</v>
      </c>
    </row>
    <row r="46" spans="2:24" ht="40.5" customHeight="1">
      <c r="B46" s="301" t="s">
        <v>441</v>
      </c>
      <c r="C46" s="314">
        <v>0.0845167385672977</v>
      </c>
      <c r="D46" s="314">
        <v>0.07029718109259919</v>
      </c>
      <c r="E46" s="314">
        <v>0.060063334936659774</v>
      </c>
      <c r="F46" s="314">
        <f>IF(C6=0,0,(((E7+E9-E11)/E6)+((D7+D9-D11)/D6)+((C7+C9-C11)/C6))/3)</f>
        <v>0.141022100752299</v>
      </c>
      <c r="G46" s="314">
        <f>IF(D6=0,0,(((F7+F9-F11)/F6)+((E7+E9-E11)/E6)+((D7+D9-D11)/D6))/3)</f>
        <v>0.16414152796035864</v>
      </c>
      <c r="H46" s="314">
        <f>IF(E6=0,0,(((G7+G9-G11)/G6)+((F7+F9-F11)/F6)+((E7+E9-E11)/E6))/3)</f>
        <v>0.20672185263873852</v>
      </c>
      <c r="I46" s="314">
        <f>IF(F6=0,0,(((H7+H9-H11)/H6)+((G7+G9-G11)/G6)+((F7+F9-F11)/F6))/3)</f>
        <v>0.18997689728264766</v>
      </c>
      <c r="J46" s="314">
        <f>IF(G6=0,0,(((I7+I9-I11)/I6)+((H7+H9-H11)/H6)+((G7+G9-G11)/G6))/3)</f>
        <v>0.19072024975299737</v>
      </c>
      <c r="K46" s="314">
        <f>IF(H6=0,0,(((J7+J9-J11)/J6)+((I7+I9-I11)/I6)+((H7+H9-H11)/H6))/3)</f>
        <v>0.19146295885255613</v>
      </c>
      <c r="L46" s="314">
        <f>IF(I6=0,0,(((K7+K9-K11)/K6)+((J7+J9-J11)/J6)+((I7+I9-I11)/I6))/3)</f>
        <v>0.1922050250669738</v>
      </c>
      <c r="M46" s="314">
        <f>IF(J6=0,0,(((L7+L9-L11)/L6)+((K7+K9-K11)/K6)+((J7+J9-J11)/J6))/3)</f>
        <v>0.1929464488816648</v>
      </c>
      <c r="N46" s="314">
        <f>IF(K6=0,0,(((M7+M9-M11)/M6)+((L7+L9-L11)/L6)+((K7+K9-K11)/K6))/3)</f>
        <v>0.1936872307818078</v>
      </c>
      <c r="O46" s="314">
        <f>IF(L6=0,0,(((N7+N9-N11)/N6)+((M7+M9-M11)/M6)+((L7+L9-L11)/L6))/3)</f>
        <v>0.19442737125234577</v>
      </c>
      <c r="P46" s="314">
        <f>IF(M6=0,0,(((O7+O9-O11)/O6)+((N7+N9-N11)/N6)+((M7+M9-M11)/M6))/3)</f>
        <v>0.19516687077798564</v>
      </c>
      <c r="Q46" s="314">
        <f>IF(N6=0,0,(((P7+P9-P11)/P6)+((O7+O9-O11)/O6)+((N7+N9-N11)/N6))/3)</f>
        <v>0.19590572984319832</v>
      </c>
      <c r="R46" s="314">
        <f>IF(O6=0,0,(((Q7+Q9-Q11)/Q6)+((P7+P9-P11)/P6)+((O7+O9-O11)/O6))/3)</f>
        <v>0.1966439489322185</v>
      </c>
      <c r="S46" s="314">
        <f>IF(P6=0,0,(((R7+R9-R11)/R6)+((Q7+Q9-Q11)/Q6)+((P7+P9-P11)/P6))/3)</f>
        <v>0.19738152852904442</v>
      </c>
      <c r="T46" s="314">
        <f>IF(Q6=0,0,(((S7+S9-S11)/S6)+((R7+R9-R11)/R6)+((Q7+Q9-Q11)/Q6))/3)</f>
        <v>0.19811846911743794</v>
      </c>
      <c r="U46" s="314">
        <f>IF(R6=0,0,(((T7+T9-T11)/T6)+((S7+S9-S11)/S6)+((R7+R9-R11)/R6))/3)</f>
        <v>0.19885477118092418</v>
      </c>
      <c r="V46" s="314">
        <f>IF(S6=0,0,(((U7+U9-U11)/U6)+((T7+T9-T11)/T6)+((S7+S9-S11)/S6))/3)</f>
        <v>0.19959043520279163</v>
      </c>
      <c r="W46" s="314">
        <f>IF(T6=0,0,(((V7+V9-V11)/V6)+((U7+U9-U11)/U6)+((T7+T9-T11)/T6))/3)</f>
        <v>0.20032546166609164</v>
      </c>
      <c r="X46" s="314">
        <f>IF(U6=0,0,(((W7+W9-W11)/W6)+((V7+V9-V11)/V6)+((U7+U9-U11)/U6))/3)</f>
        <v>0.2010598510536387</v>
      </c>
    </row>
    <row r="47" spans="2:24" ht="42" customHeight="1">
      <c r="B47" s="301" t="s">
        <v>442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443</v>
      </c>
      <c r="C51" t="s">
        <v>444</v>
      </c>
    </row>
    <row r="52" ht="12.75">
      <c r="B52" s="315" t="str">
        <f>E2</f>
        <v>02 lutego 2012</v>
      </c>
    </row>
    <row r="58" spans="3:24" ht="12.75">
      <c r="C58" s="162">
        <v>2011</v>
      </c>
      <c r="D58" s="162">
        <v>2012</v>
      </c>
      <c r="E58" s="162">
        <v>2013</v>
      </c>
      <c r="F58" s="162">
        <v>2014</v>
      </c>
      <c r="G58" s="162">
        <v>2015</v>
      </c>
      <c r="H58" s="162">
        <v>2016</v>
      </c>
      <c r="I58" s="162">
        <v>2017</v>
      </c>
      <c r="J58" s="162">
        <v>2018</v>
      </c>
      <c r="K58" s="162">
        <v>2019</v>
      </c>
      <c r="L58" s="162">
        <v>2020</v>
      </c>
      <c r="M58" s="162">
        <v>2021</v>
      </c>
      <c r="N58" s="162">
        <v>2022</v>
      </c>
      <c r="O58" s="162">
        <v>2023</v>
      </c>
      <c r="P58" s="162">
        <v>2024</v>
      </c>
      <c r="Q58" s="162">
        <v>2025</v>
      </c>
      <c r="R58" s="162">
        <v>2026</v>
      </c>
      <c r="S58" s="162">
        <v>2027</v>
      </c>
      <c r="T58" s="162">
        <v>2028</v>
      </c>
      <c r="U58" s="162">
        <v>2029</v>
      </c>
      <c r="V58" s="162">
        <v>2030</v>
      </c>
      <c r="W58" s="162">
        <v>2031</v>
      </c>
      <c r="X58" s="162">
        <v>2032</v>
      </c>
    </row>
    <row r="59" spans="2:25" ht="15">
      <c r="B59" s="149" t="s">
        <v>445</v>
      </c>
      <c r="C59" s="316">
        <f>zał2!E70+zał2!E71</f>
        <v>6701134</v>
      </c>
      <c r="D59" s="316">
        <f>zał2!F70+zał2!F71</f>
        <v>7281140.890000001</v>
      </c>
      <c r="E59" s="316">
        <f>zał2!G70+zał2!G71</f>
        <v>5436134.04</v>
      </c>
      <c r="F59" s="316">
        <f>zał2!H70+zał2!H71</f>
        <v>5436134.84</v>
      </c>
      <c r="G59" s="316">
        <f>zał2!I70+zał2!I71</f>
        <v>3034270.84</v>
      </c>
      <c r="H59" s="316">
        <f>zał2!J70+zał2!J71</f>
        <v>3034270.84</v>
      </c>
      <c r="I59" s="316">
        <f>zał2!K70+zał2!K71</f>
        <v>3034270.84</v>
      </c>
      <c r="J59" s="316">
        <f>zał2!L70+zał2!L71</f>
        <v>3034270.84</v>
      </c>
      <c r="K59" s="316">
        <f>zał2!M70+zał2!M71</f>
        <v>3034279.84</v>
      </c>
      <c r="L59" s="316">
        <f>zał2!N70+zał2!N71</f>
        <v>2019326.73</v>
      </c>
      <c r="M59" s="316">
        <f>zał2!O70+zał2!O71</f>
        <v>471848</v>
      </c>
      <c r="N59" s="316">
        <f>zał2!P70+zał2!P71</f>
        <v>471848</v>
      </c>
      <c r="O59" s="316">
        <f>zał2!Q70+zał2!Q71</f>
        <v>471848</v>
      </c>
      <c r="P59" s="316">
        <f>zał2!R70+zał2!R71</f>
        <v>471848</v>
      </c>
      <c r="Q59" s="316">
        <f>zał2!S70+zał2!S71</f>
        <v>471848</v>
      </c>
      <c r="R59" s="316">
        <f>zał2!T70+zał2!T71</f>
        <v>471848</v>
      </c>
      <c r="S59" s="316">
        <f>zał2!U70+zał2!U71</f>
        <v>471848</v>
      </c>
      <c r="T59" s="316">
        <f>zał2!V70+zał2!V71</f>
        <v>471848</v>
      </c>
      <c r="U59" s="316">
        <f>zał2!W70+zał2!W71</f>
        <v>471848</v>
      </c>
      <c r="V59" s="316">
        <f>zał2!X70+zał2!X71</f>
        <v>471848</v>
      </c>
      <c r="W59" s="316">
        <f>zał2!Y70+zał2!Y71</f>
        <v>471860</v>
      </c>
      <c r="X59" s="316">
        <f>zał2!Z70+zał2!Z71</f>
        <v>0</v>
      </c>
      <c r="Y59" s="316"/>
    </row>
    <row r="60" spans="2:24" ht="12.75">
      <c r="B60" s="149" t="s">
        <v>446</v>
      </c>
      <c r="C60" s="317">
        <f>zał2!E78+zał2!E79+zał2!E77</f>
        <v>1974529.9</v>
      </c>
      <c r="D60" s="317">
        <f>zał2!F78+zał2!F79+zał2!F77</f>
        <v>1245956.9</v>
      </c>
      <c r="E60" s="317">
        <f>zał2!G78+zał2!G79+zał2!G77</f>
        <v>1083800.9</v>
      </c>
      <c r="F60" s="317">
        <f>zał2!H78+zał2!H79+zał2!H77</f>
        <v>1083800.9</v>
      </c>
      <c r="G60" s="317">
        <f>zał2!I78+zał2!I79+zał2!I77</f>
        <v>860083.9</v>
      </c>
      <c r="H60" s="317">
        <f>zał2!J78+zał2!J79+zał2!J77</f>
        <v>860083.9</v>
      </c>
      <c r="I60" s="317">
        <f>zał2!K78+zał2!K79+zał2!K77</f>
        <v>860083.9</v>
      </c>
      <c r="J60" s="317">
        <f>zał2!L78+zał2!L79+zał2!L77</f>
        <v>860083.9</v>
      </c>
      <c r="K60" s="317">
        <f>zał2!M78+zał2!M79+zał2!M77</f>
        <v>860086.9</v>
      </c>
      <c r="L60" s="317">
        <f>zał2!N78+zał2!N79+zał2!N77</f>
        <v>388668.9</v>
      </c>
      <c r="M60" s="317">
        <f>zał2!O78+zał2!O79+zał2!O77</f>
        <v>75188</v>
      </c>
      <c r="N60" s="317">
        <f>zał2!P78+zał2!P79+zał2!P77</f>
        <v>75188</v>
      </c>
      <c r="O60" s="317">
        <f>zał2!Q78+zał2!Q79+zał2!Q77</f>
        <v>75188</v>
      </c>
      <c r="P60" s="317">
        <f>zał2!R78+zał2!R79+zał2!R77</f>
        <v>75188</v>
      </c>
      <c r="Q60" s="317">
        <f>zał2!S78+zał2!S79+zał2!S77</f>
        <v>75188</v>
      </c>
      <c r="R60" s="317">
        <f>zał2!T78+zał2!T79+zał2!T77</f>
        <v>75188</v>
      </c>
      <c r="S60" s="317">
        <f>zał2!U78+zał2!U79+zał2!U77</f>
        <v>75188</v>
      </c>
      <c r="T60" s="317">
        <f>zał2!V78+zał2!V79+zał2!V77</f>
        <v>75188</v>
      </c>
      <c r="U60" s="317">
        <f>zał2!W78+zał2!W79+zał2!W77</f>
        <v>75188</v>
      </c>
      <c r="V60" s="317">
        <f>zał2!X78+zał2!X79+zał2!X77</f>
        <v>75188</v>
      </c>
      <c r="W60" s="317">
        <f>zał2!Y78+zał2!Y79+zał2!Y77</f>
        <v>75234</v>
      </c>
      <c r="X60" s="317">
        <f>zał2!Z78+zał2!Z79+zał2!Z77</f>
        <v>0</v>
      </c>
    </row>
    <row r="61" spans="2:25" ht="24.75">
      <c r="B61" s="318" t="s">
        <v>447</v>
      </c>
      <c r="C61" s="319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448</v>
      </c>
    </row>
    <row r="62" spans="2:23" ht="12.75">
      <c r="B62" s="149" t="s">
        <v>449</v>
      </c>
      <c r="C62" s="320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49" t="s">
        <v>450</v>
      </c>
      <c r="C63" s="235">
        <f>zał2!E72</f>
        <v>0</v>
      </c>
      <c r="D63" s="235">
        <f>zał2!F72</f>
        <v>0</v>
      </c>
      <c r="E63" s="321">
        <f>zał2!G72</f>
        <v>418691.39450000005</v>
      </c>
      <c r="F63" s="321">
        <f>zał2!H72</f>
        <v>418691.39450000005</v>
      </c>
      <c r="G63" s="321">
        <f>zał2!I72</f>
        <v>418691.39450000005</v>
      </c>
      <c r="H63" s="321">
        <f>zał2!J72</f>
        <v>418691.39450000005</v>
      </c>
      <c r="I63" s="321">
        <f>zał2!K72</f>
        <v>418691.39450000005</v>
      </c>
      <c r="J63" s="321">
        <f>zał2!L72</f>
        <v>418691.39450000005</v>
      </c>
      <c r="K63" s="321">
        <f>zał2!M72</f>
        <v>418691.39450000005</v>
      </c>
      <c r="L63" s="321">
        <f>zał2!N72</f>
        <v>418691.39450000005</v>
      </c>
      <c r="M63" s="321">
        <f>zał2!O72</f>
        <v>418691.39450000005</v>
      </c>
      <c r="N63" s="321">
        <f>zał2!P72</f>
        <v>418691.39450000005</v>
      </c>
      <c r="O63" s="321">
        <f>zał2!Q72</f>
        <v>418691.39450000005</v>
      </c>
      <c r="P63" s="321">
        <f>zał2!R72</f>
        <v>418691.39450000005</v>
      </c>
      <c r="Q63" s="321">
        <f>zał2!S72</f>
        <v>418691.39450000005</v>
      </c>
      <c r="R63" s="321">
        <f>zał2!T72</f>
        <v>418691.39450000005</v>
      </c>
      <c r="S63" s="321">
        <f>zał2!U72</f>
        <v>418691.39450000005</v>
      </c>
      <c r="T63" s="321">
        <f>zał2!V72</f>
        <v>418691.39450000005</v>
      </c>
      <c r="U63" s="321">
        <f>zał2!W72</f>
        <v>418691.39450000005</v>
      </c>
      <c r="V63" s="321">
        <f>zał2!X72</f>
        <v>418691.39450000005</v>
      </c>
      <c r="W63" s="321">
        <f>zał2!Y72</f>
        <v>418691.39450000005</v>
      </c>
      <c r="X63" s="321">
        <f>zał2!Z72</f>
        <v>418691.39450000005</v>
      </c>
      <c r="Y63" s="195">
        <f>SUM(D63:X63)</f>
        <v>8373827.890000003</v>
      </c>
    </row>
    <row r="64" spans="2:25" ht="12.75">
      <c r="B64" s="149" t="s">
        <v>446</v>
      </c>
      <c r="C64" s="235">
        <f>zał2!E80</f>
        <v>0</v>
      </c>
      <c r="D64" s="235">
        <f>zał2!F80</f>
        <v>0</v>
      </c>
      <c r="E64" s="235">
        <f>zał2!G80</f>
        <v>131634.35</v>
      </c>
      <c r="F64" s="235">
        <f>zał2!H80</f>
        <v>131634.35</v>
      </c>
      <c r="G64" s="235">
        <f>zał2!I80</f>
        <v>131634.35</v>
      </c>
      <c r="H64" s="235">
        <f>zał2!J80</f>
        <v>131634.35</v>
      </c>
      <c r="I64" s="235">
        <f>zał2!K80</f>
        <v>131634.35</v>
      </c>
      <c r="J64" s="235">
        <f>zał2!L80</f>
        <v>131634.35</v>
      </c>
      <c r="K64" s="235">
        <f>zał2!M80</f>
        <v>131634.35</v>
      </c>
      <c r="L64" s="235">
        <f>zał2!N80</f>
        <v>131634.35</v>
      </c>
      <c r="M64" s="235">
        <f>zał2!O80</f>
        <v>131634.35</v>
      </c>
      <c r="N64" s="235">
        <f>zał2!P80</f>
        <v>131634.35</v>
      </c>
      <c r="O64" s="235">
        <f>zał2!Q80</f>
        <v>131634.35</v>
      </c>
      <c r="P64" s="235">
        <f>zał2!R80</f>
        <v>131634.35</v>
      </c>
      <c r="Q64" s="235">
        <f>zał2!S80</f>
        <v>131634.35</v>
      </c>
      <c r="R64" s="235">
        <f>zał2!T80</f>
        <v>131634.35</v>
      </c>
      <c r="S64" s="235">
        <f>zał2!U80</f>
        <v>131634.35</v>
      </c>
      <c r="T64" s="235">
        <f>zał2!V80</f>
        <v>131634.35</v>
      </c>
      <c r="U64" s="235">
        <f>zał2!W80</f>
        <v>131634.35</v>
      </c>
      <c r="V64" s="235">
        <f>zał2!X80</f>
        <v>131634.35</v>
      </c>
      <c r="W64" s="235">
        <f>zał2!Y80</f>
        <v>131634.35</v>
      </c>
      <c r="X64" s="235">
        <f>zał2!Z80</f>
        <v>131634.35</v>
      </c>
      <c r="Y64" s="195">
        <f>SUM(D64:X64)</f>
        <v>2632687.000000001</v>
      </c>
    </row>
    <row r="65" spans="2:24" ht="12.75">
      <c r="B65" s="149" t="s">
        <v>451</v>
      </c>
      <c r="C65" s="319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49" t="s">
        <v>452</v>
      </c>
      <c r="C66" s="322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49" t="s">
        <v>446</v>
      </c>
      <c r="C67" s="323">
        <f>zał2!C80</f>
        <v>2632687</v>
      </c>
      <c r="D67" s="221">
        <f>SUM(C67-D64)</f>
        <v>2632687</v>
      </c>
      <c r="E67" s="221">
        <f>SUM(D67-E64)</f>
        <v>2501052.65</v>
      </c>
      <c r="F67" s="221">
        <f>SUM(E67-F64)</f>
        <v>2369418.3</v>
      </c>
      <c r="G67" s="221">
        <f>SUM(F67-G64)</f>
        <v>2237783.9499999997</v>
      </c>
      <c r="H67" s="221">
        <f>SUM(G67-H64)</f>
        <v>2106149.5999999996</v>
      </c>
      <c r="I67" s="221">
        <f>SUM(H67-I64)</f>
        <v>1974515.2499999995</v>
      </c>
      <c r="J67" s="221">
        <f>SUM(I67-J64)</f>
        <v>1842880.8999999994</v>
      </c>
      <c r="K67" s="221">
        <f>SUM(J67-K64)</f>
        <v>1711246.5499999993</v>
      </c>
      <c r="L67" s="221">
        <f>SUM(K67-L64)</f>
        <v>1579612.1999999993</v>
      </c>
      <c r="M67" s="221">
        <f>SUM(L67-M64)</f>
        <v>1447977.8499999992</v>
      </c>
      <c r="N67" s="221">
        <f>SUM(M67-N64)</f>
        <v>1316343.499999999</v>
      </c>
      <c r="O67" s="221">
        <f>SUM(N67-O64)</f>
        <v>1184709.149999999</v>
      </c>
      <c r="P67" s="221">
        <f>SUM(O67-P64)</f>
        <v>1053074.7999999989</v>
      </c>
      <c r="Q67" s="221">
        <f>SUM(P67-Q64)</f>
        <v>921440.4499999989</v>
      </c>
      <c r="R67" s="221">
        <f>SUM(Q67-R64)</f>
        <v>789806.0999999989</v>
      </c>
      <c r="S67" s="221">
        <f>SUM(R67-S64)</f>
        <v>658171.749999999</v>
      </c>
      <c r="T67" s="221">
        <f>SUM(S67-T64)</f>
        <v>526537.399999999</v>
      </c>
      <c r="U67" s="221">
        <f>SUM(T67-U64)</f>
        <v>394903.049999999</v>
      </c>
      <c r="V67" s="221">
        <f>SUM(U67-V64)</f>
        <v>263268.699999999</v>
      </c>
      <c r="W67" s="221">
        <f>SUM(V67-W64)</f>
        <v>131634.34999999902</v>
      </c>
      <c r="X67" s="221"/>
      <c r="Y67" t="s">
        <v>448</v>
      </c>
    </row>
    <row r="68" spans="2:25" ht="12.75">
      <c r="B68" s="149" t="s">
        <v>453</v>
      </c>
      <c r="C68" s="324"/>
      <c r="D68" s="325"/>
      <c r="E68" s="221">
        <v>0</v>
      </c>
      <c r="F68" s="221">
        <v>0</v>
      </c>
      <c r="G68" s="221">
        <v>0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1">
        <v>0</v>
      </c>
      <c r="N68" s="221">
        <v>0</v>
      </c>
      <c r="O68" s="221">
        <v>0</v>
      </c>
      <c r="P68" s="221">
        <v>0</v>
      </c>
      <c r="Q68" s="221">
        <v>0</v>
      </c>
      <c r="R68" s="221">
        <v>0</v>
      </c>
      <c r="S68" s="221">
        <v>0</v>
      </c>
      <c r="T68" s="221">
        <v>0</v>
      </c>
      <c r="U68" s="221">
        <v>0</v>
      </c>
      <c r="V68" s="221">
        <v>0</v>
      </c>
      <c r="W68" s="221">
        <v>0</v>
      </c>
      <c r="X68" s="221">
        <v>0</v>
      </c>
      <c r="Y68" s="221">
        <f>SUM(E68:X68)</f>
        <v>0</v>
      </c>
    </row>
    <row r="69" spans="2:25" ht="12.75">
      <c r="B69" s="149" t="s">
        <v>446</v>
      </c>
      <c r="C69" s="325"/>
      <c r="D69" s="325"/>
      <c r="E69" s="221">
        <v>0</v>
      </c>
      <c r="F69" s="221">
        <v>0</v>
      </c>
      <c r="G69" s="221">
        <v>0</v>
      </c>
      <c r="H69" s="221">
        <v>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1"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1">
        <v>0</v>
      </c>
      <c r="W69" s="221">
        <v>0</v>
      </c>
      <c r="X69" s="221">
        <v>0</v>
      </c>
      <c r="Y69" s="221">
        <f>SUM(E69:X69)</f>
        <v>0</v>
      </c>
    </row>
    <row r="70" spans="2:24" ht="12.75">
      <c r="B70" s="149" t="s">
        <v>454</v>
      </c>
      <c r="C70" s="323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49" t="s">
        <v>455</v>
      </c>
      <c r="C71" s="323"/>
      <c r="D71" s="323">
        <v>0</v>
      </c>
      <c r="E71" s="323">
        <v>0</v>
      </c>
      <c r="F71" s="323">
        <v>0</v>
      </c>
      <c r="G71" s="323">
        <v>0</v>
      </c>
      <c r="H71" s="323">
        <v>0</v>
      </c>
      <c r="I71" s="323">
        <v>0</v>
      </c>
      <c r="J71" s="323">
        <v>0</v>
      </c>
      <c r="K71" s="323">
        <v>0</v>
      </c>
      <c r="L71" s="323">
        <v>0</v>
      </c>
      <c r="M71" s="323">
        <v>0</v>
      </c>
      <c r="N71" s="323">
        <v>0</v>
      </c>
      <c r="O71" s="323">
        <v>0</v>
      </c>
      <c r="P71" s="323">
        <v>0</v>
      </c>
      <c r="Q71" s="323">
        <v>0</v>
      </c>
      <c r="R71" s="323">
        <v>0</v>
      </c>
      <c r="S71" s="323">
        <v>0</v>
      </c>
      <c r="T71" s="323">
        <v>0</v>
      </c>
      <c r="U71" s="323">
        <v>0</v>
      </c>
      <c r="V71" s="323">
        <v>0</v>
      </c>
      <c r="W71" s="323">
        <v>0</v>
      </c>
      <c r="X71" s="323">
        <v>0</v>
      </c>
    </row>
    <row r="72" spans="2:24" ht="12.75">
      <c r="B72" s="149" t="s">
        <v>446</v>
      </c>
      <c r="C72" s="323"/>
      <c r="D72" s="326">
        <v>0</v>
      </c>
      <c r="E72" s="323">
        <v>0</v>
      </c>
      <c r="F72" s="323">
        <v>0</v>
      </c>
      <c r="G72" s="323">
        <v>0</v>
      </c>
      <c r="H72" s="323">
        <v>0</v>
      </c>
      <c r="I72" s="323">
        <v>0</v>
      </c>
      <c r="J72" s="323">
        <v>0</v>
      </c>
      <c r="K72" s="323">
        <v>0</v>
      </c>
      <c r="L72" s="323">
        <v>0</v>
      </c>
      <c r="M72" s="323">
        <v>0</v>
      </c>
      <c r="N72" s="323">
        <v>0</v>
      </c>
      <c r="O72" s="323">
        <v>0</v>
      </c>
      <c r="P72" s="323">
        <v>0</v>
      </c>
      <c r="Q72" s="323">
        <v>0</v>
      </c>
      <c r="R72" s="323">
        <v>0</v>
      </c>
      <c r="S72" s="323">
        <v>0</v>
      </c>
      <c r="T72" s="323">
        <v>0</v>
      </c>
      <c r="U72" s="323">
        <v>0</v>
      </c>
      <c r="V72" s="323">
        <v>0</v>
      </c>
      <c r="W72" s="323">
        <v>0</v>
      </c>
      <c r="X72" s="323">
        <v>0</v>
      </c>
    </row>
    <row r="73" spans="2:24" ht="12.75">
      <c r="B73" s="149" t="s">
        <v>456</v>
      </c>
      <c r="C73" s="327">
        <f>zał2!E49</f>
        <v>40534439.7</v>
      </c>
      <c r="D73" s="221">
        <f>SUM(D62+D66)</f>
        <v>41627126.7</v>
      </c>
      <c r="E73" s="221">
        <f>SUM(E62+E66)</f>
        <v>35772301.2655</v>
      </c>
      <c r="F73" s="221">
        <f>SUM(F62+F66)</f>
        <v>29917475.031000003</v>
      </c>
      <c r="G73" s="221">
        <f>SUM(G62+G66)</f>
        <v>26464512.796500005</v>
      </c>
      <c r="H73" s="221">
        <f>SUM(H62+H66)</f>
        <v>23011550.562000003</v>
      </c>
      <c r="I73" s="221">
        <f>SUM(I62+I66)</f>
        <v>19558588.3275</v>
      </c>
      <c r="J73" s="221">
        <f>SUM(J62+J66)</f>
        <v>16105626.093000002</v>
      </c>
      <c r="K73" s="221">
        <f>SUM(K62+K66)</f>
        <v>12652654.858500002</v>
      </c>
      <c r="L73" s="221">
        <f>SUM(L62+L66)</f>
        <v>10214636.734000001</v>
      </c>
      <c r="M73" s="221">
        <f>SUM(M62+M66)</f>
        <v>9324097.3395</v>
      </c>
      <c r="N73" s="221">
        <f>SUM(N62+N66)</f>
        <v>8433557.945</v>
      </c>
      <c r="O73" s="221">
        <f>SUM(O62+O66)</f>
        <v>7543018.550500001</v>
      </c>
      <c r="P73" s="221">
        <f>SUM(P62+P66)</f>
        <v>6652479.156000001</v>
      </c>
      <c r="Q73" s="221">
        <f>SUM(Q62+Q66)</f>
        <v>5761939.761500001</v>
      </c>
      <c r="R73" s="221">
        <f>SUM(R62+R66)</f>
        <v>4871400.367000001</v>
      </c>
      <c r="S73" s="221">
        <f>SUM(S62+S66)</f>
        <v>3980860.972500001</v>
      </c>
      <c r="T73" s="221">
        <f>SUM(T62+T66)</f>
        <v>3090321.578000001</v>
      </c>
      <c r="U73" s="221">
        <f>SUM(U62+U66)</f>
        <v>2199782.183500001</v>
      </c>
      <c r="V73" s="221">
        <f>SUM(V62+V66)</f>
        <v>1309242.7890000013</v>
      </c>
      <c r="W73" s="221">
        <f>SUM(W62+W66)</f>
        <v>418691.3945000011</v>
      </c>
      <c r="X73" s="221">
        <f>SUM(X62+X66)</f>
        <v>0</v>
      </c>
    </row>
    <row r="74" spans="2:24" ht="12.75">
      <c r="B74" s="149" t="s">
        <v>457</v>
      </c>
      <c r="C74" s="327">
        <f>zał2!E50</f>
        <v>8929764.1</v>
      </c>
      <c r="D74" s="221">
        <f>zał2!F50</f>
        <v>10316494.2</v>
      </c>
      <c r="E74" s="221">
        <f>zał2!G50</f>
        <v>9101058.95</v>
      </c>
      <c r="F74" s="221">
        <f>zał2!H50</f>
        <v>7885623.699999999</v>
      </c>
      <c r="G74" s="221">
        <f>zał2!I50</f>
        <v>6893905.449999999</v>
      </c>
      <c r="H74" s="221">
        <f>zał2!J50</f>
        <v>5902187.199999999</v>
      </c>
      <c r="I74" s="221">
        <f>zał2!K50</f>
        <v>4910468.949999999</v>
      </c>
      <c r="J74" s="221">
        <f>zał2!L50</f>
        <v>3918750.6999999993</v>
      </c>
      <c r="K74" s="221">
        <f>zał2!M50</f>
        <v>2927029.4499999993</v>
      </c>
      <c r="L74" s="221">
        <f>zał2!N50</f>
        <v>2406726.1999999993</v>
      </c>
      <c r="M74" s="221">
        <f>zał2!O50</f>
        <v>2199903.849999999</v>
      </c>
      <c r="N74" s="221">
        <f>zał2!P50</f>
        <v>1993081.499999999</v>
      </c>
      <c r="O74" s="221">
        <f>zał2!Q50</f>
        <v>1786259.149999999</v>
      </c>
      <c r="P74" s="221">
        <f>zał2!R50</f>
        <v>1579436.7999999989</v>
      </c>
      <c r="Q74" s="221">
        <f>zał2!S50</f>
        <v>1372614.4499999988</v>
      </c>
      <c r="R74" s="221">
        <f>zał2!T50</f>
        <v>1165792.0999999987</v>
      </c>
      <c r="S74" s="221">
        <f>zał2!U50</f>
        <v>958969.7499999987</v>
      </c>
      <c r="T74" s="221">
        <f>zał2!V50</f>
        <v>752147.3999999987</v>
      </c>
      <c r="U74" s="221">
        <f>zał2!W50</f>
        <v>545325.0499999988</v>
      </c>
      <c r="V74" s="221">
        <f>zał2!X50</f>
        <v>338502.6999999988</v>
      </c>
      <c r="W74" s="221">
        <f>zał2!Y50</f>
        <v>131634.34999999878</v>
      </c>
      <c r="X74" s="221">
        <f>zał2!Z50</f>
        <v>-1.2223608791828156E-09</v>
      </c>
    </row>
    <row r="76" spans="2:24" ht="12.75">
      <c r="B76" s="149" t="s">
        <v>458</v>
      </c>
      <c r="C76" s="328">
        <f>zał2!E40</f>
        <v>1650727.24</v>
      </c>
      <c r="D76" s="328">
        <f>zał2!F40</f>
        <v>2200000</v>
      </c>
      <c r="E76" s="328">
        <f>zał2!G40</f>
        <v>2146338.07593</v>
      </c>
      <c r="F76" s="328">
        <f>zał2!H40</f>
        <v>1795048.5018600002</v>
      </c>
      <c r="G76" s="328">
        <f>zał2!I40</f>
        <v>1587870.7677900002</v>
      </c>
      <c r="H76" s="328">
        <f>zał2!J40</f>
        <v>1380693.0337200004</v>
      </c>
      <c r="I76" s="328">
        <f>zał2!K40</f>
        <v>1173515.2996500004</v>
      </c>
      <c r="J76" s="328">
        <f>zał2!L40</f>
        <v>966337.5655800004</v>
      </c>
      <c r="K76" s="328">
        <f>zał2!M40</f>
        <v>759159.2915100005</v>
      </c>
      <c r="L76" s="328">
        <f>zał2!N40</f>
        <v>612878.2040400004</v>
      </c>
      <c r="M76" s="328">
        <f>zał2!O40</f>
        <v>559445.8403700005</v>
      </c>
      <c r="N76" s="328">
        <f>zał2!P40</f>
        <v>506013.47670000046</v>
      </c>
      <c r="O76" s="328">
        <f>zał2!Q40</f>
        <v>452581.1130300004</v>
      </c>
      <c r="P76" s="328">
        <f>zał2!R40</f>
        <v>399148.7493600004</v>
      </c>
      <c r="Q76" s="328">
        <f>zał2!S40</f>
        <v>345716.3856900004</v>
      </c>
      <c r="R76" s="328">
        <f>zał2!T40</f>
        <v>292284.0220200004</v>
      </c>
      <c r="S76" s="328">
        <f>zał2!U40</f>
        <v>238851.65835000036</v>
      </c>
      <c r="T76" s="328">
        <f>zał2!V40</f>
        <v>185419.29468000037</v>
      </c>
      <c r="U76" s="328">
        <f>zał2!W40</f>
        <v>131986.93101000038</v>
      </c>
      <c r="V76" s="328">
        <f>zał2!X40</f>
        <v>78554.56734000039</v>
      </c>
      <c r="W76" s="328">
        <f>zał2!Y40</f>
        <v>25121.48367000038</v>
      </c>
      <c r="X76" s="328">
        <f>zał2!Z40</f>
        <v>0</v>
      </c>
    </row>
    <row r="77" spans="2:24" ht="12.75">
      <c r="B77" s="149" t="s">
        <v>459</v>
      </c>
      <c r="C77" s="329">
        <v>300000</v>
      </c>
      <c r="D77" s="329">
        <f>SUM(D78-D76)</f>
        <v>200000</v>
      </c>
      <c r="E77" s="329">
        <f>SUM(E78-E76)</f>
        <v>0</v>
      </c>
      <c r="F77" s="329">
        <f>SUM(F78-F76)</f>
        <v>0</v>
      </c>
      <c r="G77" s="329">
        <f>SUM(G78-G76)</f>
        <v>0</v>
      </c>
      <c r="H77" s="329">
        <f>SUM(H78-H76)</f>
        <v>0</v>
      </c>
      <c r="I77" s="329">
        <f>SUM(I78-I76)</f>
        <v>0</v>
      </c>
      <c r="J77" s="329">
        <f>SUM(J78-J76)</f>
        <v>0</v>
      </c>
      <c r="K77" s="329">
        <f>SUM(K78-K76)</f>
        <v>0</v>
      </c>
      <c r="L77" s="329">
        <f>SUM(L78-L76)</f>
        <v>0</v>
      </c>
      <c r="M77" s="329">
        <f>SUM(M78-M76)</f>
        <v>0</v>
      </c>
      <c r="N77" s="329">
        <f>SUM(N78-N76)</f>
        <v>0</v>
      </c>
      <c r="O77" s="329">
        <f>SUM(O78-O76)</f>
        <v>0</v>
      </c>
      <c r="P77" s="329">
        <f>SUM(P78-P76)</f>
        <v>0</v>
      </c>
      <c r="Q77" s="329">
        <f>SUM(Q78-Q76)</f>
        <v>0</v>
      </c>
      <c r="R77" s="329">
        <f>SUM(R78-R76)</f>
        <v>0</v>
      </c>
      <c r="S77" s="329">
        <f>SUM(S78-S76)</f>
        <v>0</v>
      </c>
      <c r="T77" s="329">
        <f>SUM(T78-T76)</f>
        <v>0</v>
      </c>
      <c r="U77" s="329">
        <f>SUM(U78-U76)</f>
        <v>0</v>
      </c>
      <c r="V77" s="329">
        <f>SUM(V78-V76)</f>
        <v>0</v>
      </c>
      <c r="W77" s="329">
        <f>SUM(W78-W76)</f>
        <v>0</v>
      </c>
      <c r="X77" s="329">
        <f>SUM(X78-X76)</f>
        <v>0</v>
      </c>
    </row>
    <row r="78" spans="2:24" ht="24.75">
      <c r="B78" s="318" t="s">
        <v>460</v>
      </c>
      <c r="C78" s="327" t="e">
        <f>zał1!#REF!</f>
        <v>#REF!</v>
      </c>
      <c r="D78" s="327">
        <f>zał1!G26</f>
        <v>2400000</v>
      </c>
      <c r="E78" s="327">
        <f>zał1!H26</f>
        <v>2146338.07593</v>
      </c>
      <c r="F78" s="327">
        <f>zał1!I26</f>
        <v>1795048.5018600002</v>
      </c>
      <c r="G78" s="327">
        <f>zał1!J26</f>
        <v>1587870.7677900002</v>
      </c>
      <c r="H78" s="327">
        <f>zał1!K26</f>
        <v>1380693.0337200004</v>
      </c>
      <c r="I78" s="327">
        <f>zał1!L26</f>
        <v>1173515.2996500004</v>
      </c>
      <c r="J78" s="327">
        <f>zał1!M26</f>
        <v>966337.5655800004</v>
      </c>
      <c r="K78" s="327">
        <f>zał1!N26</f>
        <v>759159.2915100005</v>
      </c>
      <c r="L78" s="327">
        <f>zał1!O26</f>
        <v>612878.2040400004</v>
      </c>
      <c r="M78" s="327">
        <f>zał1!P26</f>
        <v>559445.8403700005</v>
      </c>
      <c r="N78" s="327">
        <f>zał1!Q26</f>
        <v>506013.47670000046</v>
      </c>
      <c r="O78" s="327">
        <f>zał1!R26</f>
        <v>452581.1130300004</v>
      </c>
      <c r="P78" s="327">
        <f>zał1!S26</f>
        <v>399148.7493600004</v>
      </c>
      <c r="Q78" s="327">
        <f>zał1!T26</f>
        <v>345716.3856900004</v>
      </c>
      <c r="R78" s="327">
        <f>zał1!U26</f>
        <v>292284.0220200004</v>
      </c>
      <c r="S78" s="327">
        <f>zał1!V26</f>
        <v>238851.65835000036</v>
      </c>
      <c r="T78" s="327">
        <f>zał1!W26</f>
        <v>185419.29468000037</v>
      </c>
      <c r="U78" s="327">
        <f>zał1!X26</f>
        <v>131986.93101000038</v>
      </c>
      <c r="V78" s="327">
        <f>zał1!Y26</f>
        <v>78554.56734000039</v>
      </c>
      <c r="W78" s="327">
        <f>zał1!Z26</f>
        <v>25121.48367000038</v>
      </c>
      <c r="X78" s="327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L1">
      <selection activeCell="F65" sqref="F65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6.574218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Uchwały Nr </v>
      </c>
      <c r="Y2" s="54" t="str">
        <f>zał3!K2</f>
        <v>XXIV/145/2012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Rady miejskiej w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 12 lipca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24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89868856.13</v>
      </c>
      <c r="G8" s="60">
        <f>G9+G10</f>
        <v>70053827.02903</v>
      </c>
      <c r="H8" s="60">
        <f>H9+H10</f>
        <v>67473134.46292993</v>
      </c>
      <c r="I8" s="60">
        <f>I9+I10</f>
        <v>69561160.94728076</v>
      </c>
      <c r="J8" s="60">
        <f>J9+J10</f>
        <v>71713807.03212646</v>
      </c>
      <c r="K8" s="60">
        <f>K9+K10</f>
        <v>73933072.64846678</v>
      </c>
      <c r="L8" s="60">
        <f>L9+L10</f>
        <v>76221019.62686399</v>
      </c>
      <c r="M8" s="60">
        <f>M9+M10</f>
        <v>78579773.61338034</v>
      </c>
      <c r="N8" s="60">
        <f>N9+N10</f>
        <v>81011526.04482122</v>
      </c>
      <c r="O8" s="60">
        <f>O9+O10</f>
        <v>83518536.18511955</v>
      </c>
      <c r="P8" s="60">
        <f>P9+P10</f>
        <v>86103133.22475438</v>
      </c>
      <c r="Q8" s="60">
        <f>Q9+Q10</f>
        <v>88767718.44515477</v>
      </c>
      <c r="R8" s="60">
        <f>R9+R10</f>
        <v>91514767.45010057</v>
      </c>
      <c r="S8" s="60">
        <f>S9+S10</f>
        <v>94346832.46619408</v>
      </c>
      <c r="T8" s="60">
        <f>T9+T10</f>
        <v>97266544.71454069</v>
      </c>
      <c r="U8" s="60">
        <f>U9+U10</f>
        <v>100276616.85584289</v>
      </c>
      <c r="V8" s="60">
        <f>V9+V10</f>
        <v>103379845.51118</v>
      </c>
      <c r="W8" s="60">
        <f>W9+W10</f>
        <v>106579113.86081672</v>
      </c>
      <c r="X8" s="60">
        <f>X9+X10</f>
        <v>109877394.3234559</v>
      </c>
      <c r="Y8" s="60">
        <f>Y9+Y10</f>
        <v>113277751.31842552</v>
      </c>
      <c r="Z8" s="60">
        <f>Z9+Z10</f>
        <v>116783344.11336747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</f>
        <v>60051545.13</v>
      </c>
      <c r="G9" s="65">
        <f>SUM(F9+0.031*F9)</f>
        <v>61913143.02903</v>
      </c>
      <c r="H9" s="65">
        <f>SUM(G9+0.031*G9)</f>
        <v>63832450.462929934</v>
      </c>
      <c r="I9" s="65">
        <f>SUM(H9+0.031*H9)</f>
        <v>65811256.42728076</v>
      </c>
      <c r="J9" s="65">
        <f>SUM(I9+0.031*I9)</f>
        <v>67851405.37652646</v>
      </c>
      <c r="K9" s="65">
        <f>SUM(J9+0.031*J9)</f>
        <v>69954798.94319879</v>
      </c>
      <c r="L9" s="65">
        <f>SUM(K9+0.031*K9)</f>
        <v>72123397.71043795</v>
      </c>
      <c r="M9" s="65">
        <f>SUM(L9+0.031*L9)</f>
        <v>74359223.03946152</v>
      </c>
      <c r="N9" s="65">
        <f>SUM(M9+0.031*M9)</f>
        <v>76664358.95368484</v>
      </c>
      <c r="O9" s="65">
        <f>SUM(N9+0.031*N9)</f>
        <v>79040954.08124907</v>
      </c>
      <c r="P9" s="65">
        <f>SUM(O9+0.031*O9)</f>
        <v>81491223.65776779</v>
      </c>
      <c r="Q9" s="65">
        <f>SUM(P9+0.031*P9)</f>
        <v>84017451.59115858</v>
      </c>
      <c r="R9" s="65">
        <f>SUM(Q9+0.031*Q9)</f>
        <v>86621992.5904845</v>
      </c>
      <c r="S9" s="65">
        <f>SUM(R9+0.031*R9)</f>
        <v>89307274.36078952</v>
      </c>
      <c r="T9" s="65">
        <f>SUM(S9+0.031*S9)</f>
        <v>92075799.865974</v>
      </c>
      <c r="U9" s="65">
        <f>SUM(T9+0.031*T9)</f>
        <v>94930149.66181919</v>
      </c>
      <c r="V9" s="65">
        <f>SUM(U9+0.031*U9)</f>
        <v>97872984.30133559</v>
      </c>
      <c r="W9" s="65">
        <f>SUM(V9+0.031*V9)</f>
        <v>100907046.81467699</v>
      </c>
      <c r="X9" s="65">
        <f>SUM(W9+0.031*W9)</f>
        <v>104035165.26593198</v>
      </c>
      <c r="Y9" s="65">
        <f>SUM(X9+0.031*X9)</f>
        <v>107260255.38917588</v>
      </c>
      <c r="Z9" s="65">
        <f>SUM(Y9+0.031*Y9)</f>
        <v>110585323.30624034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</f>
        <v>29817311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</f>
        <v>5910000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91672621.13</v>
      </c>
      <c r="G12" s="60">
        <f>G13+G14</f>
        <v>55981527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</f>
        <v>60368454.61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</f>
        <v>31304166.52</v>
      </c>
      <c r="G14" s="65">
        <f>zał3!I13+1000000</f>
        <v>4948227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14072300.029029995</v>
      </c>
      <c r="H15" s="60">
        <f>H8-H12</f>
        <v>12408835.462929934</v>
      </c>
      <c r="I15" s="60">
        <f>I8-I12</f>
        <v>12919932.977280766</v>
      </c>
      <c r="J15" s="60">
        <f>J8-J12</f>
        <v>13373342.223026454</v>
      </c>
      <c r="K15" s="60">
        <f>K8-K12</f>
        <v>13842393.895093776</v>
      </c>
      <c r="L15" s="60">
        <f>L8-L12</f>
        <v>14327620.510889791</v>
      </c>
      <c r="M15" s="60">
        <f>M8-M12</f>
        <v>14829572.523926921</v>
      </c>
      <c r="N15" s="60">
        <f>N8-N12</f>
        <v>15348818.922684193</v>
      </c>
      <c r="O15" s="60">
        <f>O8-O12</f>
        <v>15885947.849318415</v>
      </c>
      <c r="P15" s="60">
        <f>P8-P12</f>
        <v>16441567.238879204</v>
      </c>
      <c r="Q15" s="60">
        <f>Q8-Q12</f>
        <v>17016305.47970335</v>
      </c>
      <c r="R15" s="60">
        <f>R8-R12</f>
        <v>17610812.095685616</v>
      </c>
      <c r="S15" s="60">
        <f>S8-S12</f>
        <v>18225758.451146662</v>
      </c>
      <c r="T15" s="60">
        <f>T8-T12</f>
        <v>18861838.47904186</v>
      </c>
      <c r="U15" s="60">
        <f>U8-U12</f>
        <v>19519769.433279097</v>
      </c>
      <c r="V15" s="60">
        <f>V8-V12</f>
        <v>20200292.665939286</v>
      </c>
      <c r="W15" s="60">
        <f>W8-W12</f>
        <v>20904174.430218786</v>
      </c>
      <c r="X15" s="60">
        <f>X8-X12</f>
        <v>21632206.70994003</v>
      </c>
      <c r="Y15" s="60">
        <f>Y8-Y12</f>
        <v>22385208.07650417</v>
      </c>
      <c r="Z15" s="60">
        <f>Z8-Z12</f>
        <v>23164024.574188486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24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0.09163557148304387</v>
      </c>
      <c r="G45" s="74">
        <f>G38/G8</f>
        <v>0.09686449046699512</v>
      </c>
      <c r="H45" s="74">
        <f>H38/H8</f>
        <v>0.09536298465421245</v>
      </c>
      <c r="I45" s="74">
        <f>I38/I8</f>
        <v>0.058209418835875326</v>
      </c>
      <c r="J45" s="74">
        <f>J38/J8</f>
        <v>0.053573184540305935</v>
      </c>
      <c r="K45" s="74">
        <f>K38/K8</f>
        <v>0.04916283273430781</v>
      </c>
      <c r="L45" s="74">
        <f>L38/L8</f>
        <v>0.044968980562836165</v>
      </c>
      <c r="M45" s="74">
        <f>M38/M8</f>
        <v>0.04098267439474575</v>
      </c>
      <c r="N45" s="74">
        <f>N38/N8</f>
        <v>0.03123744486852278</v>
      </c>
      <c r="O45" s="75">
        <f>O38/O8</f>
        <v>0.014884873965158099</v>
      </c>
      <c r="P45" s="75">
        <f>P38/P8</f>
        <v>0.013817505549936908</v>
      </c>
      <c r="Q45" s="75">
        <f>Q38/Q8</f>
        <v>0.012800803911976891</v>
      </c>
      <c r="R45" s="75">
        <f>R38/R8</f>
        <v>0.011832689128019092</v>
      </c>
      <c r="S45" s="75">
        <f>S38/S8</f>
        <v>0.010911160483939536</v>
      </c>
      <c r="T45" s="75">
        <f>T38/T8</f>
        <v>0.010034293593798186</v>
      </c>
      <c r="U45" s="75">
        <f>U38/U8</f>
        <v>0.009200237620464203</v>
      </c>
      <c r="V45" s="75">
        <f>V38/V8</f>
        <v>0.008407212594315667</v>
      </c>
      <c r="W45" s="75">
        <f>W38/W8</f>
        <v>0.007653506826630597</v>
      </c>
      <c r="X45" s="75">
        <f>X38/X8</f>
        <v>0.0069374744144007775</v>
      </c>
      <c r="Y45" s="75">
        <f>Y38/Y8</f>
        <v>0.006257226330151451</v>
      </c>
      <c r="Z45" s="75">
        <f>Z38/Z8</f>
        <v>0.002458030695039349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0.3484035943965676</v>
      </c>
      <c r="G53" s="74">
        <f>(G46-G48-G50)/G8</f>
        <v>0.38072498600893795</v>
      </c>
      <c r="H53" s="74">
        <f>(H46-H48-H50)/H8</f>
        <v>0.32652775814208557</v>
      </c>
      <c r="I53" s="74">
        <f>(I46-I48-I50)/I8</f>
        <v>0.2813438861569927</v>
      </c>
      <c r="J53" s="74">
        <f>(J46-J48-J50)/J8</f>
        <v>0.23857837242325358</v>
      </c>
      <c r="K53" s="74">
        <f>(K46-K48-K50)/K8</f>
        <v>0.19812674967734864</v>
      </c>
      <c r="L53" s="74">
        <f>(L46-L48-L50)/L8</f>
        <v>0.15988864295781163</v>
      </c>
      <c r="M53" s="74">
        <f>(M46-M48-M50)/M8</f>
        <v>0.12376754171310003</v>
      </c>
      <c r="N53" s="74">
        <f>(N46-N48-N50)/N8</f>
        <v>0.09638024260498598</v>
      </c>
      <c r="O53" s="75">
        <f>(O46-O48-O50)/O8</f>
        <v>0.08530074657569635</v>
      </c>
      <c r="P53" s="75">
        <f>(P46-P48-P50)/P8</f>
        <v>0.07479955959545026</v>
      </c>
      <c r="Q53" s="75">
        <f>(Q46-Q48-Q50)/Q8</f>
        <v>0.06485194732200793</v>
      </c>
      <c r="R53" s="75">
        <f>(R46-R48-R50)/R8</f>
        <v>0.05543413918159318</v>
      </c>
      <c r="S53" s="75">
        <f>(S46-S48-S50)/S8</f>
        <v>0.04652329279918083</v>
      </c>
      <c r="T53" s="75">
        <f>(T46-T48-T50)/T8</f>
        <v>0.038097459695677294</v>
      </c>
      <c r="U53" s="75">
        <f>(U46-U48-U50)/U8</f>
        <v>0.03013555220799144</v>
      </c>
      <c r="V53" s="75">
        <f>(V46-V48-V50)/V8</f>
        <v>0.022617311589493004</v>
      </c>
      <c r="W53" s="75">
        <f>(W46-W48-W50)/W8</f>
        <v>0.015523277249805137</v>
      </c>
      <c r="X53" s="75">
        <f>(X46-X48-X50)/X8</f>
        <v>0.008834757094278677</v>
      </c>
      <c r="Y53" s="75">
        <f>(Y46-Y48-Y50)/Y8</f>
        <v>0.00253409907205066</v>
      </c>
      <c r="Z53" s="75">
        <f>(Z46-Z48-Z50)/Z8</f>
        <v>1.0466911086192294E-17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0.09064789927283053</v>
      </c>
      <c r="H54" s="75">
        <f>((G9+G11-G13)/G8+(F9+F11-F13)/F8+(E9+E11-E13)/E8)/3</f>
        <v>0.141022100752299</v>
      </c>
      <c r="I54" s="75">
        <f>((H9+H11-H13)/H8+(G9+G11-G13)/G8+(F9+F11-F13)/F8)/3</f>
        <v>0.16414152796035864</v>
      </c>
      <c r="J54" s="75">
        <f>((I9+I11-I13)/I8+(H9+H11-H13)/H8+(G9+G11-G13)/G8)/3</f>
        <v>0.20672185263873852</v>
      </c>
      <c r="K54" s="75">
        <f>((J9+J11-J13)/J8+(I9+I11-I13)/I8+(H9+H11-H13)/H8)/3</f>
        <v>0.18997689728264766</v>
      </c>
      <c r="L54" s="75">
        <f>((K9+K11-K13)/K8+(J9+J11-J13)/J8+(I9+I11-I13)/I8)/3</f>
        <v>0.19072024975299737</v>
      </c>
      <c r="M54" s="75">
        <f>((L9+L11-L13)/L8+(K9+K11-K13)/K8+(J9+J11-J13)/J8)/3</f>
        <v>0.19146295885255613</v>
      </c>
      <c r="N54" s="75">
        <f>((M9+M11-M13)/M8+(L9+L11-L13)/L8+(K9+K11-K13)/K8)/3</f>
        <v>0.1922050250669738</v>
      </c>
      <c r="O54" s="75">
        <f>((N9+N11-N13)/N8+(M9+M11-M13)/M8+(L9+L11-L13)/L8)/3</f>
        <v>0.1929464488816648</v>
      </c>
      <c r="P54" s="75">
        <f>((O9+O11-O13)/O8+(N9+N11-N13)/N8+(M9+M11-M13)/M8)/3</f>
        <v>0.1936872307818078</v>
      </c>
      <c r="Q54" s="75">
        <f>((P9+P11-P13)/P8+(O9+O11-O13)/O8+(N9+N11-N13)/N8)/3</f>
        <v>0.19442737125234577</v>
      </c>
      <c r="R54" s="75">
        <f>((Q9+Q11-Q13)/Q8+(P9+P11-P13)/P8+(O9+O11-O13)/O8)/3</f>
        <v>0.19516687077798564</v>
      </c>
      <c r="S54" s="75">
        <f>((R9+R11-R13)/R8+(Q9+Q11-Q13)/Q8+(P9+P11-P13)/P8)/3</f>
        <v>0.19590572984319832</v>
      </c>
      <c r="T54" s="75">
        <f>((S9+S11-S13)/S8+(R9+R11-R13)/R8+(Q9+Q11-Q13)/Q8)/3</f>
        <v>0.1966439489322185</v>
      </c>
      <c r="U54" s="75">
        <f>((T9+T11-T13)/T8+(S9+S11-S13)/S8+(R9+R11-R13)/R8)/3</f>
        <v>0.19738152852904442</v>
      </c>
      <c r="V54" s="75">
        <f>((U9+U11-U13)/U8+(T9+T11-T13)/T8+(S9+S11-S13)/S8)/3</f>
        <v>0.19811846911743794</v>
      </c>
      <c r="W54" s="75">
        <f>((V9+V11-V13)/V8+(U9+U11-U13)/U8+(T9+T11-T13)/T8)/3</f>
        <v>0.19885477118092418</v>
      </c>
      <c r="X54" s="75">
        <f>((W9+W11-W13)/W8+(V9+V11-V13)/V8+(U9+U11-U13)/U8)/3</f>
        <v>0.19959043520279163</v>
      </c>
      <c r="Y54" s="75">
        <f>((X9+X11-X13)/X8+(W9+W11-W13)/W8+(V9+V11-V13)/V8)/3</f>
        <v>0.20032546166609164</v>
      </c>
      <c r="Z54" s="75">
        <f>((Y9+Y11-Y13)/Y8+(X9+X11-X13)/X8+(W9+W11-W13)/W8)/3</f>
        <v>0.2010598510536387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394168.5200000033</v>
      </c>
      <c r="G65" s="87">
        <f>SUM(G9-G13+G25)</f>
        <v>11629843.029030003</v>
      </c>
      <c r="H65" s="87">
        <f>SUM(H9-H13+H25)</f>
        <v>12018151.462929934</v>
      </c>
      <c r="I65" s="87">
        <f>SUM(I9-I13+I25)</f>
        <v>12420028.457280762</v>
      </c>
      <c r="J65" s="87">
        <f>SUM(J9-J13+J25)</f>
        <v>12835940.567426458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5">
      <c r="E85" s="100"/>
      <c r="F85" s="100"/>
      <c r="G85" s="100"/>
      <c r="H85" s="100"/>
      <c r="I85" s="100"/>
      <c r="J85" s="100"/>
      <c r="K85" s="100"/>
    </row>
    <row r="86" spans="5:10" ht="1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8"/>
  <sheetViews>
    <sheetView workbookViewId="0" topLeftCell="C1">
      <pane ySplit="6" topLeftCell="A61" activePane="bottomLeft" state="frozen"/>
      <selection pane="topLeft" activeCell="C1" sqref="C1"/>
      <selection pane="bottomLeft" activeCell="J64" sqref="J64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4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3" t="s">
        <v>151</v>
      </c>
      <c r="L2" s="103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4"/>
      <c r="K5" s="104"/>
      <c r="L5" s="104"/>
    </row>
    <row r="6" spans="3:12" s="101" customFormat="1" ht="19.5">
      <c r="C6" s="105" t="s">
        <v>154</v>
      </c>
      <c r="D6" s="105"/>
      <c r="E6" s="105"/>
      <c r="F6" s="105"/>
      <c r="G6" s="105"/>
      <c r="H6" s="105"/>
      <c r="I6" s="105"/>
      <c r="J6" s="105" t="s">
        <v>63</v>
      </c>
      <c r="K6" s="105"/>
      <c r="L6" s="105"/>
    </row>
    <row r="7" s="101" customFormat="1" ht="7.5" customHeight="1"/>
    <row r="8" spans="2:12" s="101" customFormat="1" ht="73.5" customHeight="1">
      <c r="B8" s="106" t="s">
        <v>2</v>
      </c>
      <c r="C8" s="106" t="s">
        <v>155</v>
      </c>
      <c r="D8" s="106" t="s">
        <v>156</v>
      </c>
      <c r="E8" s="106" t="s">
        <v>157</v>
      </c>
      <c r="F8" s="106"/>
      <c r="G8" s="106" t="s">
        <v>158</v>
      </c>
      <c r="H8" s="106" t="s">
        <v>159</v>
      </c>
      <c r="I8" s="106"/>
      <c r="J8" s="106"/>
      <c r="K8" s="106"/>
      <c r="L8" s="106" t="s">
        <v>160</v>
      </c>
    </row>
    <row r="9" spans="2:12" s="101" customFormat="1" ht="9" customHeight="1">
      <c r="B9" s="106"/>
      <c r="C9" s="106"/>
      <c r="D9" s="106"/>
      <c r="E9" s="106" t="s">
        <v>161</v>
      </c>
      <c r="F9" s="106" t="s">
        <v>162</v>
      </c>
      <c r="G9" s="106"/>
      <c r="H9" s="106">
        <v>2012</v>
      </c>
      <c r="I9" s="106">
        <v>2013</v>
      </c>
      <c r="J9" s="106">
        <v>2014</v>
      </c>
      <c r="K9" s="106">
        <v>2015</v>
      </c>
      <c r="L9" s="106"/>
    </row>
    <row r="10" spans="2:12" s="101" customFormat="1" ht="11.25">
      <c r="B10" s="107">
        <v>1</v>
      </c>
      <c r="C10" s="107">
        <v>2</v>
      </c>
      <c r="D10" s="107">
        <v>3</v>
      </c>
      <c r="E10" s="107">
        <v>4</v>
      </c>
      <c r="F10" s="107">
        <v>5</v>
      </c>
      <c r="G10" s="107">
        <v>6</v>
      </c>
      <c r="H10" s="107">
        <v>7</v>
      </c>
      <c r="I10" s="107">
        <v>8</v>
      </c>
      <c r="J10" s="107">
        <v>9</v>
      </c>
      <c r="K10" s="107">
        <v>10</v>
      </c>
      <c r="L10" s="107">
        <v>11</v>
      </c>
    </row>
    <row r="11" spans="2:12" s="108" customFormat="1" ht="30.75" customHeight="1">
      <c r="B11" s="109"/>
      <c r="C11" s="110" t="s">
        <v>163</v>
      </c>
      <c r="D11" s="110"/>
      <c r="E11" s="110"/>
      <c r="F11" s="110"/>
      <c r="G11" s="111">
        <f>SUM(G12,G13)</f>
        <v>63412615.75</v>
      </c>
      <c r="H11" s="111">
        <f>SUM(H12,H13)</f>
        <v>28745464</v>
      </c>
      <c r="I11" s="111">
        <f>SUM(I12,I13)</f>
        <v>5003847</v>
      </c>
      <c r="J11" s="111">
        <f>SUM(J12,J13)</f>
        <v>1530000</v>
      </c>
      <c r="K11" s="111">
        <f>SUM(K12,K13)</f>
        <v>1500000</v>
      </c>
      <c r="L11" s="111">
        <f>SUM(L12,L13)</f>
        <v>0</v>
      </c>
    </row>
    <row r="12" spans="2:12" s="112" customFormat="1" ht="17.25">
      <c r="B12" s="113"/>
      <c r="C12" s="114" t="s">
        <v>164</v>
      </c>
      <c r="D12" s="114"/>
      <c r="E12" s="114"/>
      <c r="F12" s="114"/>
      <c r="G12" s="115">
        <f>SUM(G15,G78,G83)</f>
        <v>1861833.32</v>
      </c>
      <c r="H12" s="115">
        <f>SUM(H15,H78,H81)</f>
        <v>1500035</v>
      </c>
      <c r="I12" s="115">
        <f>SUM(I15,I78,I81)</f>
        <v>1055620</v>
      </c>
      <c r="J12" s="115">
        <f>SUM(J15,J78,J81)</f>
        <v>30000</v>
      </c>
      <c r="K12" s="115">
        <f>SUM(K15,K78,K81)</f>
        <v>0</v>
      </c>
      <c r="L12" s="115">
        <f>SUM(L15,L78,L83)</f>
        <v>0</v>
      </c>
    </row>
    <row r="13" spans="2:16" s="112" customFormat="1" ht="17.25">
      <c r="B13" s="113"/>
      <c r="C13" s="114" t="s">
        <v>165</v>
      </c>
      <c r="D13" s="114"/>
      <c r="E13" s="114"/>
      <c r="F13" s="114"/>
      <c r="G13" s="115">
        <f>SUM(G16,G79)</f>
        <v>61550782.43</v>
      </c>
      <c r="H13" s="115">
        <f>SUM(H16,H79)</f>
        <v>27245429</v>
      </c>
      <c r="I13" s="115">
        <f>SUM(I16,I79)</f>
        <v>3948227</v>
      </c>
      <c r="J13" s="115">
        <f>SUM(J16,J79)</f>
        <v>1500000</v>
      </c>
      <c r="K13" s="115">
        <f>SUM(K16,K79)</f>
        <v>1500000</v>
      </c>
      <c r="L13" s="115">
        <f>SUM(L16,L79)</f>
        <v>0</v>
      </c>
      <c r="M13" s="116"/>
      <c r="N13" s="116"/>
      <c r="O13" s="116"/>
      <c r="P13" s="116"/>
    </row>
    <row r="14" spans="2:12" s="112" customFormat="1" ht="15">
      <c r="B14" s="113"/>
      <c r="C14" s="117" t="s">
        <v>166</v>
      </c>
      <c r="D14" s="117"/>
      <c r="E14" s="117"/>
      <c r="F14" s="117"/>
      <c r="G14" s="118">
        <f>SUM(G15,G16)</f>
        <v>62712615.75</v>
      </c>
      <c r="H14" s="118">
        <f>SUM(H15,H16)</f>
        <v>27553464</v>
      </c>
      <c r="I14" s="118">
        <f>SUM(I15,I16)</f>
        <v>4003847</v>
      </c>
      <c r="J14" s="118">
        <f>SUM(J15,J16)</f>
        <v>1530000</v>
      </c>
      <c r="K14" s="118">
        <f>SUM(K15,K16)</f>
        <v>1500000</v>
      </c>
      <c r="L14" s="118">
        <f>SUM(L15,L16)</f>
        <v>0</v>
      </c>
    </row>
    <row r="15" spans="2:12" s="112" customFormat="1" ht="15">
      <c r="B15" s="113"/>
      <c r="C15" s="119" t="s">
        <v>164</v>
      </c>
      <c r="D15" s="119"/>
      <c r="E15" s="119"/>
      <c r="F15" s="119"/>
      <c r="G15" s="115">
        <f>SUM(G18,G60,G63)</f>
        <v>1161833.32</v>
      </c>
      <c r="H15" s="115">
        <f>SUM(H18,H60,H63)</f>
        <v>308035</v>
      </c>
      <c r="I15" s="115">
        <f>SUM(I18,I60,I63)</f>
        <v>55620</v>
      </c>
      <c r="J15" s="115">
        <f>SUM(J18,J60,J63)</f>
        <v>30000</v>
      </c>
      <c r="K15" s="115">
        <f>SUM(K18,K60,K63)</f>
        <v>0</v>
      </c>
      <c r="L15" s="115">
        <f>SUM(L18,L60,L63)</f>
        <v>0</v>
      </c>
    </row>
    <row r="16" spans="2:12" s="112" customFormat="1" ht="15">
      <c r="B16" s="113"/>
      <c r="C16" s="119" t="s">
        <v>165</v>
      </c>
      <c r="D16" s="119"/>
      <c r="E16" s="119"/>
      <c r="F16" s="119"/>
      <c r="G16" s="115">
        <f>SUM(G19,G61,G64)</f>
        <v>61550782.43</v>
      </c>
      <c r="H16" s="115">
        <f>SUM(H19,H61,H64)</f>
        <v>27245429</v>
      </c>
      <c r="I16" s="115">
        <f>SUM(I19,I61,I64)</f>
        <v>3948227</v>
      </c>
      <c r="J16" s="115">
        <f>SUM(J19,J61,J64)</f>
        <v>1500000</v>
      </c>
      <c r="K16" s="115">
        <f>SUM(K19,K61,K64)</f>
        <v>1500000</v>
      </c>
      <c r="L16" s="115">
        <f>SUM(L19,L61,L64)</f>
        <v>0</v>
      </c>
    </row>
    <row r="17" spans="2:12" s="120" customFormat="1" ht="30.75" customHeight="1">
      <c r="B17" s="121"/>
      <c r="C17" s="122" t="s">
        <v>167</v>
      </c>
      <c r="D17" s="122"/>
      <c r="E17" s="122"/>
      <c r="F17" s="122"/>
      <c r="G17" s="118">
        <f>SUM(G18,G19)</f>
        <v>54462615.75</v>
      </c>
      <c r="H17" s="118">
        <f>SUM(H18,H19)</f>
        <v>26132048</v>
      </c>
      <c r="I17" s="118">
        <f>SUM(I18,I19)</f>
        <v>342420</v>
      </c>
      <c r="J17" s="118">
        <f>SUM(J18,J19)</f>
        <v>30000</v>
      </c>
      <c r="K17" s="118">
        <f>SUM(K18,K19)</f>
        <v>0</v>
      </c>
      <c r="L17" s="118">
        <f>SUM(L18,L19)</f>
        <v>0</v>
      </c>
    </row>
    <row r="18" spans="2:12" s="120" customFormat="1" ht="13.5">
      <c r="B18" s="121"/>
      <c r="C18" s="123" t="s">
        <v>168</v>
      </c>
      <c r="D18" s="123"/>
      <c r="E18" s="123"/>
      <c r="F18" s="123"/>
      <c r="G18" s="115">
        <f>SUM(G21,G24,G27,G30,G33,G36,G39,G42,G45,G48,G51,G54,G57)</f>
        <v>1161833.32</v>
      </c>
      <c r="H18" s="115">
        <f>SUM(H21,H24,H27,H30,H33,H36,H39,H42,H45,H48,H51,H54,H57)</f>
        <v>308035</v>
      </c>
      <c r="I18" s="115">
        <f>SUM(I21,I24,I27,I30,I33,I36,I39,I42,I45,I48,I51,I54,I57)</f>
        <v>55620</v>
      </c>
      <c r="J18" s="115">
        <f>SUM(J21,J24,J27,J30,J33,J36,J39,J42,J45,J48,J51,J54,J57)</f>
        <v>30000</v>
      </c>
      <c r="K18" s="115">
        <f>SUM(K21,K24,K27,K30,K33,K36,K39,K42,K45,K48,K51,K54,K57)</f>
        <v>0</v>
      </c>
      <c r="L18" s="115">
        <f>SUM(L21,L24,L27,L30,L33,L36,L39,L42,L45,L48,L51,L54,L57)</f>
        <v>0</v>
      </c>
    </row>
    <row r="19" spans="2:12" s="120" customFormat="1" ht="13.5">
      <c r="B19" s="121"/>
      <c r="C19" s="123" t="s">
        <v>169</v>
      </c>
      <c r="D19" s="123"/>
      <c r="E19" s="123"/>
      <c r="F19" s="123"/>
      <c r="G19" s="115">
        <f>SUM(G22,G25,G28,G31,G34,G37,G40,G43,G46,G49,G52,G55,G58)</f>
        <v>53300782.43</v>
      </c>
      <c r="H19" s="115">
        <f>SUM(H22,H25,H28,H31,H34,H37,H40,H43,H46,H49,H52,H55,H58)</f>
        <v>25824013</v>
      </c>
      <c r="I19" s="115">
        <f>SUM(I22,I25,I28,I31,I34,I37,I40,I43,I46,I49,I52,I55,I58)</f>
        <v>286800</v>
      </c>
      <c r="J19" s="115">
        <f>SUM(J22,J25,J28,J31,J34,J37,J40,J43,J46,J49,J52,J55,J58)</f>
        <v>0</v>
      </c>
      <c r="K19" s="115">
        <f>SUM(K22,K25,K28,K31,K34,K37,K40,K43,K46,K49,K52,K55,K58)</f>
        <v>0</v>
      </c>
      <c r="L19" s="115">
        <f>SUM(L22,L25,L28,L31,L34,L37,L40,L43,L46,L49,L52,L55,L58)</f>
        <v>0</v>
      </c>
    </row>
    <row r="20" spans="2:12" s="120" customFormat="1" ht="88.5" customHeight="1">
      <c r="B20" s="121"/>
      <c r="C20" s="124" t="s">
        <v>170</v>
      </c>
      <c r="D20" s="125" t="s">
        <v>171</v>
      </c>
      <c r="E20" s="126">
        <v>2011</v>
      </c>
      <c r="F20" s="127">
        <v>2012</v>
      </c>
      <c r="G20" s="128">
        <f>SUM(G21:G22)</f>
        <v>6521671</v>
      </c>
      <c r="H20" s="128">
        <f>SUM(H21:H22)</f>
        <v>4477752</v>
      </c>
      <c r="I20" s="128">
        <f>SUM(I21:I22)</f>
        <v>0</v>
      </c>
      <c r="J20" s="128">
        <f>SUM(J21:J22)</f>
        <v>0</v>
      </c>
      <c r="K20" s="128">
        <f>SUM(K21:K22)</f>
        <v>0</v>
      </c>
      <c r="L20" s="128">
        <f>SUM(L21:L22)</f>
        <v>0</v>
      </c>
    </row>
    <row r="21" spans="2:12" s="120" customFormat="1" ht="13.5">
      <c r="B21" s="121"/>
      <c r="C21" s="123" t="s">
        <v>164</v>
      </c>
      <c r="D21" s="129"/>
      <c r="E21" s="130"/>
      <c r="F21" s="131"/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</row>
    <row r="22" spans="2:12" s="120" customFormat="1" ht="15.75" customHeight="1">
      <c r="B22" s="121"/>
      <c r="C22" s="123" t="s">
        <v>165</v>
      </c>
      <c r="D22" s="129"/>
      <c r="E22" s="130"/>
      <c r="F22" s="131"/>
      <c r="G22" s="132">
        <v>6521671</v>
      </c>
      <c r="H22" s="132">
        <v>4477752</v>
      </c>
      <c r="I22" s="132">
        <v>0</v>
      </c>
      <c r="J22" s="132">
        <v>0</v>
      </c>
      <c r="K22" s="132">
        <v>0</v>
      </c>
      <c r="L22" s="132">
        <v>0</v>
      </c>
    </row>
    <row r="23" spans="2:12" s="120" customFormat="1" ht="91.5" customHeight="1">
      <c r="B23" s="121"/>
      <c r="C23" s="124" t="s">
        <v>172</v>
      </c>
      <c r="D23" s="125" t="s">
        <v>171</v>
      </c>
      <c r="E23" s="126">
        <v>2010</v>
      </c>
      <c r="F23" s="127">
        <v>2012</v>
      </c>
      <c r="G23" s="128">
        <f>SUM(G24:G25)</f>
        <v>3260000</v>
      </c>
      <c r="H23" s="128">
        <f>SUM(H24:H25)</f>
        <v>435815</v>
      </c>
      <c r="I23" s="128">
        <f>SUM(I24:I25)</f>
        <v>0</v>
      </c>
      <c r="J23" s="128">
        <f>SUM(J24:J25)</f>
        <v>0</v>
      </c>
      <c r="K23" s="128">
        <f>SUM(K24:K25)</f>
        <v>0</v>
      </c>
      <c r="L23" s="128">
        <f>SUM(L24:L25)</f>
        <v>0</v>
      </c>
    </row>
    <row r="24" spans="2:12" s="120" customFormat="1" ht="13.5">
      <c r="B24" s="121"/>
      <c r="C24" s="123" t="s">
        <v>164</v>
      </c>
      <c r="D24" s="129"/>
      <c r="E24" s="130"/>
      <c r="F24" s="131"/>
      <c r="G24" s="133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</row>
    <row r="25" spans="2:12" ht="13.5">
      <c r="B25" s="121"/>
      <c r="C25" s="123" t="s">
        <v>165</v>
      </c>
      <c r="D25" s="129"/>
      <c r="E25" s="130"/>
      <c r="F25" s="131"/>
      <c r="G25" s="132">
        <v>3260000</v>
      </c>
      <c r="H25" s="132">
        <v>435815</v>
      </c>
      <c r="I25" s="132">
        <v>0</v>
      </c>
      <c r="J25" s="132">
        <v>0</v>
      </c>
      <c r="K25" s="132">
        <v>0</v>
      </c>
      <c r="L25" s="132">
        <v>0</v>
      </c>
    </row>
    <row r="26" spans="2:12" ht="92.25" customHeight="1">
      <c r="B26" s="121"/>
      <c r="C26" s="124" t="s">
        <v>173</v>
      </c>
      <c r="D26" s="125" t="s">
        <v>171</v>
      </c>
      <c r="E26" s="126">
        <v>2008</v>
      </c>
      <c r="F26" s="127">
        <v>2012</v>
      </c>
      <c r="G26" s="128">
        <f>SUM(G27:G28)</f>
        <v>6837213</v>
      </c>
      <c r="H26" s="128">
        <f>SUM(H27:H28)</f>
        <v>3395104</v>
      </c>
      <c r="I26" s="128">
        <f>SUM(I27:I28)</f>
        <v>0</v>
      </c>
      <c r="J26" s="128">
        <f>SUM(J27:J28)</f>
        <v>0</v>
      </c>
      <c r="K26" s="128">
        <f>SUM(K27:K28)</f>
        <v>0</v>
      </c>
      <c r="L26" s="128">
        <f>SUM(L27:L28)</f>
        <v>0</v>
      </c>
    </row>
    <row r="27" spans="2:12" ht="13.5">
      <c r="B27" s="121"/>
      <c r="C27" s="123" t="s">
        <v>164</v>
      </c>
      <c r="D27" s="129"/>
      <c r="E27" s="130"/>
      <c r="F27" s="131"/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</row>
    <row r="28" spans="2:12" ht="13.5">
      <c r="B28" s="121"/>
      <c r="C28" s="123" t="s">
        <v>165</v>
      </c>
      <c r="D28" s="129"/>
      <c r="E28" s="130"/>
      <c r="F28" s="131"/>
      <c r="G28" s="132">
        <v>6837213</v>
      </c>
      <c r="H28" s="132">
        <f>1600267+1794837</f>
        <v>3395104</v>
      </c>
      <c r="I28" s="132">
        <v>0</v>
      </c>
      <c r="J28" s="132">
        <v>0</v>
      </c>
      <c r="K28" s="132">
        <v>0</v>
      </c>
      <c r="L28" s="132">
        <v>0</v>
      </c>
    </row>
    <row r="29" spans="2:12" ht="104.25" customHeight="1">
      <c r="B29" s="121"/>
      <c r="C29" s="124" t="s">
        <v>174</v>
      </c>
      <c r="D29" s="125" t="s">
        <v>171</v>
      </c>
      <c r="E29" s="126">
        <v>2008</v>
      </c>
      <c r="F29" s="127">
        <v>2012</v>
      </c>
      <c r="G29" s="128">
        <f>SUM(G30:G31)</f>
        <v>22532072</v>
      </c>
      <c r="H29" s="128">
        <f>SUM(H30:H31)</f>
        <v>9132928</v>
      </c>
      <c r="I29" s="128">
        <f>SUM(I30:I31)</f>
        <v>0</v>
      </c>
      <c r="J29" s="128">
        <f>SUM(J30:J31)</f>
        <v>0</v>
      </c>
      <c r="K29" s="128"/>
      <c r="L29" s="128">
        <f>SUM(L30:L31)</f>
        <v>0</v>
      </c>
    </row>
    <row r="30" spans="2:12" ht="14.25" customHeight="1">
      <c r="B30" s="121"/>
      <c r="C30" s="123" t="s">
        <v>164</v>
      </c>
      <c r="D30" s="129"/>
      <c r="E30" s="130"/>
      <c r="F30" s="131"/>
      <c r="G30" s="132">
        <v>0</v>
      </c>
      <c r="H30" s="132">
        <v>0</v>
      </c>
      <c r="I30" s="132">
        <v>0</v>
      </c>
      <c r="J30" s="132">
        <v>0</v>
      </c>
      <c r="K30" s="132"/>
      <c r="L30" s="132">
        <v>0</v>
      </c>
    </row>
    <row r="31" spans="2:12" ht="13.5">
      <c r="B31" s="121"/>
      <c r="C31" s="123" t="s">
        <v>165</v>
      </c>
      <c r="D31" s="129"/>
      <c r="E31" s="130"/>
      <c r="F31" s="131"/>
      <c r="G31" s="132">
        <v>22532072</v>
      </c>
      <c r="H31" s="132">
        <f>7983464+1149464</f>
        <v>9132928</v>
      </c>
      <c r="I31" s="132">
        <v>0</v>
      </c>
      <c r="J31" s="132">
        <v>0</v>
      </c>
      <c r="K31" s="132"/>
      <c r="L31" s="132">
        <v>0</v>
      </c>
    </row>
    <row r="32" spans="2:12" ht="97.5" customHeight="1">
      <c r="B32" s="121"/>
      <c r="C32" s="124" t="s">
        <v>175</v>
      </c>
      <c r="D32" s="125" t="s">
        <v>171</v>
      </c>
      <c r="E32" s="126">
        <v>2008</v>
      </c>
      <c r="F32" s="127">
        <v>2013</v>
      </c>
      <c r="G32" s="128">
        <f>SUM(G33:G34)</f>
        <v>12685671</v>
      </c>
      <c r="H32" s="128">
        <f>SUM(H33:H34)</f>
        <v>7246934</v>
      </c>
      <c r="I32" s="128">
        <f>SUM(I33:I34)</f>
        <v>0</v>
      </c>
      <c r="J32" s="128">
        <f>SUM(J33:J34)</f>
        <v>0</v>
      </c>
      <c r="K32" s="128">
        <f>SUM(K33:K34)</f>
        <v>0</v>
      </c>
      <c r="L32" s="128">
        <f>SUM(L33:L34)</f>
        <v>0</v>
      </c>
    </row>
    <row r="33" spans="2:12" ht="13.5">
      <c r="B33" s="121"/>
      <c r="C33" s="123" t="s">
        <v>164</v>
      </c>
      <c r="D33" s="129"/>
      <c r="E33" s="130"/>
      <c r="F33" s="131"/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2:12" ht="13.5">
      <c r="B34" s="121"/>
      <c r="C34" s="123" t="s">
        <v>165</v>
      </c>
      <c r="D34" s="129"/>
      <c r="E34" s="130"/>
      <c r="F34" s="131"/>
      <c r="G34" s="132">
        <f>11585671+1100000</f>
        <v>12685671</v>
      </c>
      <c r="H34" s="132">
        <v>7246934</v>
      </c>
      <c r="I34" s="132">
        <v>0</v>
      </c>
      <c r="J34" s="132">
        <v>0</v>
      </c>
      <c r="K34" s="132">
        <v>0</v>
      </c>
      <c r="L34" s="132">
        <v>0</v>
      </c>
    </row>
    <row r="35" spans="2:12" ht="3.75" customHeight="1">
      <c r="B35" s="121"/>
      <c r="C35" s="124"/>
      <c r="D35" s="125"/>
      <c r="E35" s="126"/>
      <c r="F35" s="126"/>
      <c r="G35" s="128">
        <f>SUM(G36:G37)</f>
        <v>0</v>
      </c>
      <c r="H35" s="128">
        <f>SUM(H36:H37)</f>
        <v>0</v>
      </c>
      <c r="I35" s="128">
        <f>SUM(I36:I37)</f>
        <v>0</v>
      </c>
      <c r="J35" s="128">
        <f>SUM(J36:J37)</f>
        <v>0</v>
      </c>
      <c r="K35" s="128">
        <f>SUM(K36:K37)</f>
        <v>0</v>
      </c>
      <c r="L35" s="128">
        <f>SUM(L36:L37)</f>
        <v>0</v>
      </c>
    </row>
    <row r="36" spans="2:12" ht="3.75" customHeight="1">
      <c r="B36" s="121"/>
      <c r="C36" s="123" t="s">
        <v>164</v>
      </c>
      <c r="D36" s="129"/>
      <c r="E36" s="130"/>
      <c r="F36" s="131"/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</row>
    <row r="37" spans="2:12" ht="3.75" customHeight="1">
      <c r="B37" s="121"/>
      <c r="C37" s="123" t="s">
        <v>165</v>
      </c>
      <c r="D37" s="129"/>
      <c r="E37" s="130"/>
      <c r="F37" s="131"/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</row>
    <row r="38" spans="2:12" ht="82.5" customHeight="1">
      <c r="B38" s="121"/>
      <c r="C38" s="134" t="s">
        <v>176</v>
      </c>
      <c r="D38" s="125" t="s">
        <v>171</v>
      </c>
      <c r="E38" s="126">
        <v>2011</v>
      </c>
      <c r="F38" s="127">
        <v>2012</v>
      </c>
      <c r="G38" s="128">
        <f>SUM(G39:G40)</f>
        <v>844630</v>
      </c>
      <c r="H38" s="128">
        <f>SUM(H39:H40)</f>
        <v>815480</v>
      </c>
      <c r="I38" s="128">
        <f>SUM(I39:I40)</f>
        <v>0</v>
      </c>
      <c r="J38" s="128">
        <f>SUM(J39:J40)</f>
        <v>0</v>
      </c>
      <c r="K38" s="128">
        <f>SUM(K39:K40)</f>
        <v>0</v>
      </c>
      <c r="L38" s="128">
        <f>SUM(L39:L40)</f>
        <v>0</v>
      </c>
    </row>
    <row r="39" spans="2:12" ht="13.5">
      <c r="B39" s="121"/>
      <c r="C39" s="123" t="s">
        <v>164</v>
      </c>
      <c r="D39" s="129"/>
      <c r="E39" s="130"/>
      <c r="F39" s="131"/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</row>
    <row r="40" spans="2:12" ht="13.5">
      <c r="B40" s="121"/>
      <c r="C40" s="123" t="s">
        <v>165</v>
      </c>
      <c r="D40" s="129"/>
      <c r="E40" s="130"/>
      <c r="F40" s="131"/>
      <c r="G40" s="132">
        <f>860000-15370</f>
        <v>844630</v>
      </c>
      <c r="H40" s="132">
        <v>815480</v>
      </c>
      <c r="I40" s="132">
        <v>0</v>
      </c>
      <c r="J40" s="132">
        <v>0</v>
      </c>
      <c r="K40" s="132">
        <v>0</v>
      </c>
      <c r="L40" s="132">
        <v>0</v>
      </c>
    </row>
    <row r="41" spans="2:12" ht="103.5" customHeight="1">
      <c r="B41" s="121"/>
      <c r="C41" s="134" t="s">
        <v>177</v>
      </c>
      <c r="D41" s="125" t="s">
        <v>171</v>
      </c>
      <c r="E41" s="126">
        <v>2012</v>
      </c>
      <c r="F41" s="127">
        <v>2013</v>
      </c>
      <c r="G41" s="128">
        <f>SUM(G42:G43)</f>
        <v>606800</v>
      </c>
      <c r="H41" s="128">
        <f>SUM(H42:H43)</f>
        <v>320000</v>
      </c>
      <c r="I41" s="128">
        <f>SUM(I42:I43)</f>
        <v>286800</v>
      </c>
      <c r="J41" s="128">
        <f>SUM(J42:J43)</f>
        <v>0</v>
      </c>
      <c r="K41" s="128">
        <f>SUM(K42:K43)</f>
        <v>0</v>
      </c>
      <c r="L41" s="128">
        <f>SUM(L42:L43)</f>
        <v>0</v>
      </c>
    </row>
    <row r="42" spans="2:12" ht="13.5">
      <c r="B42" s="121"/>
      <c r="C42" s="123" t="s">
        <v>164</v>
      </c>
      <c r="D42" s="129"/>
      <c r="E42" s="130"/>
      <c r="F42" s="131"/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</row>
    <row r="43" spans="2:12" ht="13.5">
      <c r="B43" s="121"/>
      <c r="C43" s="123" t="s">
        <v>165</v>
      </c>
      <c r="D43" s="129"/>
      <c r="E43" s="130"/>
      <c r="F43" s="131"/>
      <c r="G43" s="132">
        <v>606800</v>
      </c>
      <c r="H43" s="132">
        <v>320000</v>
      </c>
      <c r="I43" s="132">
        <v>286800</v>
      </c>
      <c r="J43" s="132">
        <v>0</v>
      </c>
      <c r="K43" s="132">
        <v>0</v>
      </c>
      <c r="L43" s="132">
        <v>0</v>
      </c>
    </row>
    <row r="44" spans="2:12" ht="111.75" customHeight="1">
      <c r="B44" s="121"/>
      <c r="C44" s="124" t="s">
        <v>178</v>
      </c>
      <c r="D44" s="125" t="s">
        <v>179</v>
      </c>
      <c r="E44" s="126">
        <v>2009</v>
      </c>
      <c r="F44" s="127">
        <v>2012</v>
      </c>
      <c r="G44" s="135">
        <f>SUM(G45:G46)</f>
        <v>125325.43</v>
      </c>
      <c r="H44" s="128">
        <f>SUM(H45:H46)</f>
        <v>33375</v>
      </c>
      <c r="I44" s="128">
        <f>SUM(I45:I46)</f>
        <v>0</v>
      </c>
      <c r="J44" s="128">
        <f>SUM(J45:J46)</f>
        <v>0</v>
      </c>
      <c r="K44" s="128">
        <f>SUM(K45:K46)</f>
        <v>0</v>
      </c>
      <c r="L44" s="128">
        <f>SUM(L45:L46)</f>
        <v>0</v>
      </c>
    </row>
    <row r="45" spans="2:12" ht="13.5">
      <c r="B45" s="121"/>
      <c r="C45" s="123" t="s">
        <v>164</v>
      </c>
      <c r="D45" s="130"/>
      <c r="E45" s="130"/>
      <c r="F45" s="131"/>
      <c r="G45" s="132">
        <v>112600</v>
      </c>
      <c r="H45" s="132">
        <v>33375</v>
      </c>
      <c r="I45" s="132">
        <v>0</v>
      </c>
      <c r="J45" s="132">
        <v>0</v>
      </c>
      <c r="K45" s="132">
        <v>0</v>
      </c>
      <c r="L45" s="132">
        <v>0</v>
      </c>
    </row>
    <row r="46" spans="2:12" ht="13.5">
      <c r="B46" s="121"/>
      <c r="C46" s="123" t="s">
        <v>165</v>
      </c>
      <c r="D46" s="130"/>
      <c r="E46" s="130"/>
      <c r="F46" s="131"/>
      <c r="G46" s="136">
        <v>12725.43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</row>
    <row r="47" spans="2:12" ht="93.75" customHeight="1">
      <c r="B47" s="121"/>
      <c r="C47" s="124" t="s">
        <v>180</v>
      </c>
      <c r="D47" s="125" t="s">
        <v>181</v>
      </c>
      <c r="E47" s="126">
        <v>2010</v>
      </c>
      <c r="F47" s="127">
        <v>2012</v>
      </c>
      <c r="G47" s="128">
        <f>SUM(G48:G49)</f>
        <v>718720</v>
      </c>
      <c r="H47" s="128">
        <f>SUM(H48:H49)</f>
        <v>221440</v>
      </c>
      <c r="I47" s="128">
        <f>SUM(I48:I49)</f>
        <v>0</v>
      </c>
      <c r="J47" s="128">
        <f>SUM(J48:J49)</f>
        <v>0</v>
      </c>
      <c r="K47" s="128">
        <f>SUM(K48:K49)</f>
        <v>0</v>
      </c>
      <c r="L47" s="128">
        <f>SUM(L48:L49)</f>
        <v>0</v>
      </c>
    </row>
    <row r="48" spans="2:12" ht="13.5">
      <c r="B48" s="121"/>
      <c r="C48" s="123" t="s">
        <v>164</v>
      </c>
      <c r="D48" s="137"/>
      <c r="E48" s="130"/>
      <c r="F48" s="131"/>
      <c r="G48" s="132">
        <v>718720</v>
      </c>
      <c r="H48" s="132">
        <v>221440</v>
      </c>
      <c r="I48" s="132">
        <v>0</v>
      </c>
      <c r="J48" s="132">
        <v>0</v>
      </c>
      <c r="K48" s="132">
        <v>0</v>
      </c>
      <c r="L48" s="132">
        <v>0</v>
      </c>
    </row>
    <row r="49" spans="2:12" ht="13.5" customHeight="1">
      <c r="B49" s="121"/>
      <c r="C49" s="123" t="s">
        <v>165</v>
      </c>
      <c r="D49" s="137"/>
      <c r="E49" s="130"/>
      <c r="F49" s="131"/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</row>
    <row r="50" spans="2:12" ht="78.75" customHeight="1">
      <c r="B50" s="121"/>
      <c r="C50" s="124" t="s">
        <v>182</v>
      </c>
      <c r="D50" s="125" t="s">
        <v>183</v>
      </c>
      <c r="E50" s="126">
        <v>2010</v>
      </c>
      <c r="F50" s="127">
        <v>2013</v>
      </c>
      <c r="G50" s="128">
        <f>SUM(G51:G52)</f>
        <v>164260</v>
      </c>
      <c r="H50" s="128">
        <f>SUM(H51:H52)</f>
        <v>26020</v>
      </c>
      <c r="I50" s="128">
        <f>SUM(I51:I52)</f>
        <v>15620</v>
      </c>
      <c r="J50" s="128">
        <f>SUM(J51:J52)</f>
        <v>0</v>
      </c>
      <c r="K50" s="128">
        <f>SUM(K51:K52)</f>
        <v>0</v>
      </c>
      <c r="L50" s="128">
        <f>SUM(L51:L52)</f>
        <v>0</v>
      </c>
    </row>
    <row r="51" spans="2:12" ht="14.25" customHeight="1">
      <c r="B51" s="121"/>
      <c r="C51" s="123" t="s">
        <v>164</v>
      </c>
      <c r="D51" s="130"/>
      <c r="E51" s="130"/>
      <c r="F51" s="131"/>
      <c r="G51" s="132">
        <v>164260</v>
      </c>
      <c r="H51" s="132">
        <v>26020</v>
      </c>
      <c r="I51" s="132">
        <v>15620</v>
      </c>
      <c r="J51" s="132">
        <v>0</v>
      </c>
      <c r="K51" s="132">
        <v>0</v>
      </c>
      <c r="L51" s="132">
        <v>0</v>
      </c>
    </row>
    <row r="52" spans="2:12" ht="12" customHeight="1">
      <c r="B52" s="121"/>
      <c r="C52" s="123" t="s">
        <v>165</v>
      </c>
      <c r="D52" s="130"/>
      <c r="E52" s="130"/>
      <c r="F52" s="131"/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</row>
    <row r="53" spans="2:12" ht="78.75" customHeight="1">
      <c r="B53" s="121"/>
      <c r="C53" s="124" t="s">
        <v>184</v>
      </c>
      <c r="D53" s="125" t="s">
        <v>179</v>
      </c>
      <c r="E53" s="126">
        <v>2010</v>
      </c>
      <c r="F53" s="127">
        <v>2013</v>
      </c>
      <c r="G53" s="128">
        <f>SUM(G54:G55)</f>
        <v>120000</v>
      </c>
      <c r="H53" s="128">
        <f>SUM(H54:H55)</f>
        <v>20000</v>
      </c>
      <c r="I53" s="128">
        <f>SUM(I54:I55)</f>
        <v>40000</v>
      </c>
      <c r="J53" s="128">
        <f>SUM(J54:J55)</f>
        <v>30000</v>
      </c>
      <c r="K53" s="128">
        <f>SUM(K54:K55)</f>
        <v>0</v>
      </c>
      <c r="L53" s="128">
        <f>SUM(L54:L55)</f>
        <v>0</v>
      </c>
    </row>
    <row r="54" spans="2:12" ht="14.25" customHeight="1">
      <c r="B54" s="121"/>
      <c r="C54" s="123" t="s">
        <v>164</v>
      </c>
      <c r="D54" s="130"/>
      <c r="E54" s="130"/>
      <c r="F54" s="131"/>
      <c r="G54" s="132">
        <v>120000</v>
      </c>
      <c r="H54" s="132">
        <v>20000</v>
      </c>
      <c r="I54" s="132">
        <v>40000</v>
      </c>
      <c r="J54" s="132">
        <v>30000</v>
      </c>
      <c r="K54" s="132">
        <v>0</v>
      </c>
      <c r="L54" s="132">
        <v>0</v>
      </c>
    </row>
    <row r="55" spans="2:12" ht="12" customHeight="1">
      <c r="B55" s="121"/>
      <c r="C55" s="123" t="s">
        <v>165</v>
      </c>
      <c r="D55" s="130"/>
      <c r="E55" s="130"/>
      <c r="F55" s="131"/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</row>
    <row r="56" spans="2:12" ht="78.75" customHeight="1">
      <c r="B56" s="121"/>
      <c r="C56" s="124" t="s">
        <v>185</v>
      </c>
      <c r="D56" s="125" t="s">
        <v>179</v>
      </c>
      <c r="E56" s="126">
        <v>2010</v>
      </c>
      <c r="F56" s="127">
        <v>2012</v>
      </c>
      <c r="G56" s="128">
        <f>SUM(G57:G58)</f>
        <v>46253.32</v>
      </c>
      <c r="H56" s="128">
        <f>SUM(H57:H58)</f>
        <v>7200</v>
      </c>
      <c r="I56" s="128">
        <f>SUM(I57:I58)</f>
        <v>0</v>
      </c>
      <c r="J56" s="128">
        <f>SUM(J57:J58)</f>
        <v>0</v>
      </c>
      <c r="K56" s="128">
        <f>SUM(K57:K58)</f>
        <v>0</v>
      </c>
      <c r="L56" s="128">
        <f>SUM(L57:L58)</f>
        <v>0</v>
      </c>
    </row>
    <row r="57" spans="2:12" ht="14.25" customHeight="1">
      <c r="B57" s="121"/>
      <c r="C57" s="123" t="s">
        <v>164</v>
      </c>
      <c r="D57" s="130"/>
      <c r="E57" s="130"/>
      <c r="F57" s="131"/>
      <c r="G57" s="132">
        <f>44353.32+1900</f>
        <v>46253.32</v>
      </c>
      <c r="H57" s="132">
        <f>5300+1900</f>
        <v>7200</v>
      </c>
      <c r="I57" s="132">
        <v>0</v>
      </c>
      <c r="J57" s="132">
        <v>0</v>
      </c>
      <c r="K57" s="132">
        <v>0</v>
      </c>
      <c r="L57" s="132">
        <v>0</v>
      </c>
    </row>
    <row r="58" spans="2:12" ht="12" customHeight="1">
      <c r="B58" s="121"/>
      <c r="C58" s="123" t="s">
        <v>165</v>
      </c>
      <c r="D58" s="130"/>
      <c r="E58" s="130"/>
      <c r="F58" s="131"/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</row>
    <row r="59" spans="2:12" ht="32.25" customHeight="1">
      <c r="B59" s="138"/>
      <c r="C59" s="122" t="s">
        <v>186</v>
      </c>
      <c r="D59" s="122"/>
      <c r="E59" s="122"/>
      <c r="F59" s="122"/>
      <c r="G59" s="128">
        <f>SUM(G60:G61)</f>
        <v>0</v>
      </c>
      <c r="H59" s="128">
        <f>SUM(H60:H61)</f>
        <v>0</v>
      </c>
      <c r="I59" s="128">
        <f>SUM(I60:I61)</f>
        <v>0</v>
      </c>
      <c r="J59" s="128">
        <f>SUM(J60:J61)</f>
        <v>0</v>
      </c>
      <c r="K59" s="128">
        <f>SUM(K60:K61)</f>
        <v>0</v>
      </c>
      <c r="L59" s="128">
        <f>SUM(L60:L61)</f>
        <v>0</v>
      </c>
    </row>
    <row r="60" spans="2:12" ht="13.5" customHeight="1">
      <c r="B60" s="138"/>
      <c r="C60" s="123" t="s">
        <v>164</v>
      </c>
      <c r="D60" s="123"/>
      <c r="E60" s="123"/>
      <c r="F60" s="123"/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</row>
    <row r="61" spans="2:12" ht="13.5" customHeight="1">
      <c r="B61" s="138"/>
      <c r="C61" s="123" t="s">
        <v>165</v>
      </c>
      <c r="D61" s="123"/>
      <c r="E61" s="123"/>
      <c r="F61" s="123"/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</row>
    <row r="62" spans="2:12" ht="29.25" customHeight="1">
      <c r="B62" s="138"/>
      <c r="C62" s="139" t="s">
        <v>187</v>
      </c>
      <c r="D62" s="139"/>
      <c r="E62" s="139"/>
      <c r="F62" s="139"/>
      <c r="G62" s="128">
        <f>SUM(G63:G64)</f>
        <v>8250000</v>
      </c>
      <c r="H62" s="128">
        <f>SUM(H63:H64)</f>
        <v>1421416</v>
      </c>
      <c r="I62" s="128">
        <f>SUM(I63:I64)</f>
        <v>3661427</v>
      </c>
      <c r="J62" s="128">
        <f>SUM(J63:J64)</f>
        <v>1500000</v>
      </c>
      <c r="K62" s="128">
        <f>SUM(K63:K64)</f>
        <v>1500000</v>
      </c>
      <c r="L62" s="128">
        <f>SUM(L63:L64)</f>
        <v>0</v>
      </c>
    </row>
    <row r="63" spans="2:12" ht="13.5">
      <c r="B63" s="138"/>
      <c r="C63" s="123" t="s">
        <v>164</v>
      </c>
      <c r="D63" s="123"/>
      <c r="E63" s="123"/>
      <c r="F63" s="123"/>
      <c r="G63" s="128">
        <f>SUM(G66,G69,G72,G75)</f>
        <v>0</v>
      </c>
      <c r="H63" s="128">
        <f>SUM(H66,H69,H72,H75)</f>
        <v>0</v>
      </c>
      <c r="I63" s="128">
        <f>SUM(I66,I69,I72,I75)</f>
        <v>0</v>
      </c>
      <c r="J63" s="128">
        <f>SUM(J66,J69,J72,J75)</f>
        <v>0</v>
      </c>
      <c r="K63" s="128">
        <f>SUM(K66,K69,K72,K75)</f>
        <v>0</v>
      </c>
      <c r="L63" s="128">
        <f>SUM(L66,L69,L72,L75)</f>
        <v>0</v>
      </c>
    </row>
    <row r="64" spans="2:12" ht="13.5">
      <c r="B64" s="138"/>
      <c r="C64" s="123" t="s">
        <v>165</v>
      </c>
      <c r="D64" s="123"/>
      <c r="E64" s="123"/>
      <c r="F64" s="123"/>
      <c r="G64" s="128">
        <f>SUM(G67,G70,G73,G76)</f>
        <v>8250000</v>
      </c>
      <c r="H64" s="128">
        <f>SUM(H67,H70,H73,H76)</f>
        <v>1421416</v>
      </c>
      <c r="I64" s="128">
        <f>SUM(I67,I70,I73,I76)</f>
        <v>3661427</v>
      </c>
      <c r="J64" s="128">
        <f>SUM(J67,J70,J73,J76)</f>
        <v>1500000</v>
      </c>
      <c r="K64" s="128">
        <f>SUM(K67,K70,K73,K76)</f>
        <v>1500000</v>
      </c>
      <c r="L64" s="128">
        <f>SUM(L67,L70,L73,L76)</f>
        <v>0</v>
      </c>
    </row>
    <row r="65" spans="2:12" s="120" customFormat="1" ht="68.25">
      <c r="B65" s="140"/>
      <c r="C65" s="124" t="s">
        <v>188</v>
      </c>
      <c r="D65" s="125" t="s">
        <v>171</v>
      </c>
      <c r="E65" s="126">
        <v>2011</v>
      </c>
      <c r="F65" s="127">
        <v>2015</v>
      </c>
      <c r="G65" s="128">
        <f>SUM(G66:G67)</f>
        <v>6800000</v>
      </c>
      <c r="H65" s="128">
        <f>SUM(H66:H67)</f>
        <v>1332443</v>
      </c>
      <c r="I65" s="128">
        <f>SUM(I66:I67)</f>
        <v>2325000</v>
      </c>
      <c r="J65" s="128">
        <f>SUM(J66:J67)</f>
        <v>1500000</v>
      </c>
      <c r="K65" s="128">
        <f>SUM(K66:K67)</f>
        <v>1500000</v>
      </c>
      <c r="L65" s="128">
        <f>SUM(L66:L67)</f>
        <v>0</v>
      </c>
    </row>
    <row r="66" spans="2:12" s="120" customFormat="1" ht="13.5">
      <c r="B66" s="140"/>
      <c r="C66" s="123" t="s">
        <v>164</v>
      </c>
      <c r="D66" s="141"/>
      <c r="E66" s="142"/>
      <c r="F66" s="131"/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</row>
    <row r="67" spans="2:12" ht="13.5">
      <c r="B67" s="138"/>
      <c r="C67" s="123" t="s">
        <v>165</v>
      </c>
      <c r="D67" s="141"/>
      <c r="E67" s="142"/>
      <c r="F67" s="131"/>
      <c r="G67" s="132">
        <f>7000000-1100000+900000</f>
        <v>6800000</v>
      </c>
      <c r="H67" s="132">
        <f>1000000-900000+1267443-35000</f>
        <v>1332443</v>
      </c>
      <c r="I67" s="132">
        <f>1440000-200000+150000+900000+35000</f>
        <v>2325000</v>
      </c>
      <c r="J67" s="132">
        <v>1500000</v>
      </c>
      <c r="K67" s="132">
        <v>1500000</v>
      </c>
      <c r="L67" s="132">
        <v>0</v>
      </c>
    </row>
    <row r="68" spans="2:12" ht="74.25" customHeight="1">
      <c r="B68" s="121"/>
      <c r="C68" s="134" t="s">
        <v>189</v>
      </c>
      <c r="D68" s="125" t="s">
        <v>171</v>
      </c>
      <c r="E68" s="126">
        <v>2011</v>
      </c>
      <c r="F68" s="127">
        <v>2013</v>
      </c>
      <c r="G68" s="128">
        <f>SUM(G69:G70)</f>
        <v>1450000</v>
      </c>
      <c r="H68" s="128">
        <f>SUM(H69:H70)</f>
        <v>88973</v>
      </c>
      <c r="I68" s="128">
        <f>SUM(I69:I70)</f>
        <v>1336427</v>
      </c>
      <c r="J68" s="128">
        <f>SUM(J69:J70)</f>
        <v>0</v>
      </c>
      <c r="K68" s="128">
        <f>SUM(K69:K70)</f>
        <v>0</v>
      </c>
      <c r="L68" s="128">
        <f>SUM(L69:L70)</f>
        <v>0</v>
      </c>
    </row>
    <row r="69" spans="2:12" ht="13.5">
      <c r="B69" s="121"/>
      <c r="C69" s="123" t="s">
        <v>164</v>
      </c>
      <c r="D69" s="129"/>
      <c r="E69" s="130"/>
      <c r="F69" s="131"/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</row>
    <row r="70" spans="2:12" ht="13.5">
      <c r="B70" s="121"/>
      <c r="C70" s="123" t="s">
        <v>165</v>
      </c>
      <c r="D70" s="129"/>
      <c r="E70" s="130"/>
      <c r="F70" s="131"/>
      <c r="G70" s="132">
        <v>1450000</v>
      </c>
      <c r="H70" s="132">
        <f>670000-586427+5400</f>
        <v>88973</v>
      </c>
      <c r="I70" s="132">
        <f>750000+586427</f>
        <v>1336427</v>
      </c>
      <c r="J70" s="132">
        <v>0</v>
      </c>
      <c r="K70" s="132">
        <v>0</v>
      </c>
      <c r="L70" s="132">
        <v>0</v>
      </c>
    </row>
    <row r="71" spans="2:12" ht="13.5">
      <c r="B71" s="138"/>
      <c r="C71" s="134"/>
      <c r="D71" s="125"/>
      <c r="E71" s="126"/>
      <c r="F71" s="127"/>
      <c r="G71" s="143">
        <f>SUM(G72:G73)</f>
        <v>0</v>
      </c>
      <c r="H71" s="143">
        <f>SUM(H72:H73)</f>
        <v>0</v>
      </c>
      <c r="I71" s="143">
        <f>SUM(I72:I73)</f>
        <v>0</v>
      </c>
      <c r="J71" s="143">
        <f>SUM(J72:J73)</f>
        <v>0</v>
      </c>
      <c r="K71" s="143">
        <f>SUM(K72:K73)</f>
        <v>0</v>
      </c>
      <c r="L71" s="143">
        <f>SUM(L72:L73)</f>
        <v>0</v>
      </c>
    </row>
    <row r="72" spans="2:12" ht="13.5">
      <c r="B72" s="138"/>
      <c r="C72" s="123" t="s">
        <v>164</v>
      </c>
      <c r="D72" s="123"/>
      <c r="E72" s="123"/>
      <c r="F72" s="123"/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</row>
    <row r="73" spans="2:12" ht="13.5">
      <c r="B73" s="138"/>
      <c r="C73" s="123" t="s">
        <v>165</v>
      </c>
      <c r="D73" s="123"/>
      <c r="E73" s="123"/>
      <c r="F73" s="123"/>
      <c r="G73" s="132"/>
      <c r="H73" s="132"/>
      <c r="I73" s="132"/>
      <c r="J73" s="132">
        <v>0</v>
      </c>
      <c r="K73" s="132">
        <v>0</v>
      </c>
      <c r="L73" s="132">
        <v>0</v>
      </c>
    </row>
    <row r="74" spans="2:12" ht="2.25" customHeight="1">
      <c r="B74" s="138"/>
      <c r="C74" s="134"/>
      <c r="D74" s="125"/>
      <c r="E74" s="126">
        <v>0</v>
      </c>
      <c r="F74" s="127">
        <v>0</v>
      </c>
      <c r="G74" s="143">
        <f>SUM(G75:G76)</f>
        <v>0</v>
      </c>
      <c r="H74" s="143">
        <f>SUM(H75:H76)</f>
        <v>0</v>
      </c>
      <c r="I74" s="143">
        <f>SUM(I75:I76)</f>
        <v>0</v>
      </c>
      <c r="J74" s="143">
        <f>SUM(J75:J76)</f>
        <v>0</v>
      </c>
      <c r="K74" s="143">
        <f>SUM(K75:K76)</f>
        <v>0</v>
      </c>
      <c r="L74" s="143">
        <f>SUM(L75:L76)</f>
        <v>0</v>
      </c>
    </row>
    <row r="75" spans="2:12" ht="2.25" customHeight="1">
      <c r="B75" s="138"/>
      <c r="C75" s="123" t="s">
        <v>164</v>
      </c>
      <c r="D75" s="123"/>
      <c r="E75" s="123"/>
      <c r="F75" s="123"/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</row>
    <row r="76" spans="2:12" ht="2.25" customHeight="1">
      <c r="B76" s="138"/>
      <c r="C76" s="123" t="s">
        <v>165</v>
      </c>
      <c r="D76" s="123"/>
      <c r="E76" s="123"/>
      <c r="F76" s="123"/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</row>
    <row r="77" spans="2:12" ht="43.5" customHeight="1">
      <c r="B77" s="138"/>
      <c r="C77" s="139" t="s">
        <v>190</v>
      </c>
      <c r="D77" s="139"/>
      <c r="E77" s="139"/>
      <c r="F77" s="139"/>
      <c r="G77" s="128">
        <f>SUM(G78:G79)</f>
        <v>0</v>
      </c>
      <c r="H77" s="128">
        <f>SUM(H78:H79)</f>
        <v>0</v>
      </c>
      <c r="I77" s="128">
        <f>SUM(I78:I79)</f>
        <v>0</v>
      </c>
      <c r="J77" s="128">
        <f>SUM(J78:J79)</f>
        <v>0</v>
      </c>
      <c r="K77" s="128">
        <f>SUM(K78:K79)</f>
        <v>0</v>
      </c>
      <c r="L77" s="128">
        <f>SUM(L78:L79)</f>
        <v>0</v>
      </c>
    </row>
    <row r="78" spans="2:12" ht="13.5">
      <c r="B78" s="138"/>
      <c r="C78" s="123" t="s">
        <v>164</v>
      </c>
      <c r="D78" s="123"/>
      <c r="E78" s="123"/>
      <c r="F78" s="123"/>
      <c r="G78" s="133">
        <v>0</v>
      </c>
      <c r="H78" s="133">
        <v>0</v>
      </c>
      <c r="I78" s="133">
        <v>0</v>
      </c>
      <c r="J78" s="133">
        <f>SUM(J83)</f>
        <v>0</v>
      </c>
      <c r="K78" s="133">
        <f>SUM(K83)</f>
        <v>0</v>
      </c>
      <c r="L78" s="133">
        <f>SUM(L83)</f>
        <v>0</v>
      </c>
    </row>
    <row r="79" spans="2:12" ht="13.5">
      <c r="B79" s="138"/>
      <c r="C79" s="123" t="s">
        <v>165</v>
      </c>
      <c r="D79" s="123"/>
      <c r="E79" s="123"/>
      <c r="F79" s="123"/>
      <c r="G79" s="133">
        <f>SUM(G86)</f>
        <v>0</v>
      </c>
      <c r="H79" s="133">
        <f>SUM(H86)</f>
        <v>0</v>
      </c>
      <c r="I79" s="133">
        <f>SUM(I86)</f>
        <v>0</v>
      </c>
      <c r="J79" s="133">
        <f>SUM(J86)</f>
        <v>0</v>
      </c>
      <c r="K79" s="133">
        <f>SUM(K86)</f>
        <v>0</v>
      </c>
      <c r="L79" s="133">
        <f>SUM(L86)</f>
        <v>0</v>
      </c>
    </row>
    <row r="80" spans="2:12" ht="25.5" customHeight="1">
      <c r="B80" s="138"/>
      <c r="C80" s="139" t="s">
        <v>191</v>
      </c>
      <c r="D80" s="139"/>
      <c r="E80" s="139"/>
      <c r="F80" s="139"/>
      <c r="G80" s="128">
        <f>SUM(G81)</f>
        <v>700000</v>
      </c>
      <c r="H80" s="128">
        <f>SUM(H81)</f>
        <v>1192000</v>
      </c>
      <c r="I80" s="128">
        <f>SUM(I81)</f>
        <v>1000000</v>
      </c>
      <c r="J80" s="128">
        <f>SUM(J81)</f>
        <v>0</v>
      </c>
      <c r="K80" s="128">
        <f>SUM(K81)</f>
        <v>0</v>
      </c>
      <c r="L80" s="128">
        <f>SUM(L81)</f>
        <v>0</v>
      </c>
    </row>
    <row r="81" spans="2:12" ht="13.5">
      <c r="B81" s="138"/>
      <c r="C81" s="123" t="s">
        <v>164</v>
      </c>
      <c r="D81" s="123"/>
      <c r="E81" s="123"/>
      <c r="F81" s="123"/>
      <c r="G81" s="128">
        <f>SUM(G82)</f>
        <v>700000</v>
      </c>
      <c r="H81" s="128">
        <f>SUM(H82,H84)</f>
        <v>1192000</v>
      </c>
      <c r="I81" s="128">
        <f>SUM(I82,I84)</f>
        <v>1000000</v>
      </c>
      <c r="J81" s="128">
        <f>SUM(J82)</f>
        <v>0</v>
      </c>
      <c r="K81" s="128">
        <f>SUM(K82)</f>
        <v>0</v>
      </c>
      <c r="L81" s="128">
        <f>SUM(L82)</f>
        <v>0</v>
      </c>
    </row>
    <row r="82" spans="2:12" s="120" customFormat="1" ht="106.5">
      <c r="B82" s="140"/>
      <c r="C82" s="124" t="s">
        <v>192</v>
      </c>
      <c r="D82" s="125" t="s">
        <v>179</v>
      </c>
      <c r="E82" s="126">
        <v>2008</v>
      </c>
      <c r="F82" s="127">
        <v>2012</v>
      </c>
      <c r="G82" s="128">
        <f>SUM(G83:G83)</f>
        <v>700000</v>
      </c>
      <c r="H82" s="128">
        <f>SUM(H83:H83)</f>
        <v>192000</v>
      </c>
      <c r="I82" s="128">
        <f>SUM(I83:I83)</f>
        <v>0</v>
      </c>
      <c r="J82" s="128">
        <f>SUM(J83:J83)</f>
        <v>0</v>
      </c>
      <c r="K82" s="128">
        <f>SUM(K83:K83)</f>
        <v>0</v>
      </c>
      <c r="L82" s="128">
        <f>SUM(L83:L83)</f>
        <v>0</v>
      </c>
    </row>
    <row r="83" spans="2:12" s="120" customFormat="1" ht="13.5">
      <c r="B83" s="140"/>
      <c r="C83" s="123" t="s">
        <v>164</v>
      </c>
      <c r="D83" s="142"/>
      <c r="E83" s="142"/>
      <c r="F83" s="131"/>
      <c r="G83" s="132">
        <v>700000</v>
      </c>
      <c r="H83" s="132">
        <v>192000</v>
      </c>
      <c r="I83" s="132">
        <v>0</v>
      </c>
      <c r="J83" s="132">
        <v>0</v>
      </c>
      <c r="K83" s="132">
        <v>0</v>
      </c>
      <c r="L83" s="132">
        <v>0</v>
      </c>
    </row>
    <row r="84" spans="2:12" s="120" customFormat="1" ht="106.5">
      <c r="B84" s="140"/>
      <c r="C84" s="124" t="s">
        <v>193</v>
      </c>
      <c r="D84" s="125" t="s">
        <v>179</v>
      </c>
      <c r="E84" s="126">
        <v>2008</v>
      </c>
      <c r="F84" s="127">
        <v>2012</v>
      </c>
      <c r="G84" s="128">
        <f>SUM(G85:G85)</f>
        <v>0</v>
      </c>
      <c r="H84" s="128">
        <f>SUM(H85:H85)</f>
        <v>1000000</v>
      </c>
      <c r="I84" s="128">
        <f>SUM(I85:I85)</f>
        <v>1000000</v>
      </c>
      <c r="J84" s="128">
        <f>SUM(J85:J85)</f>
        <v>0</v>
      </c>
      <c r="K84" s="128">
        <f>SUM(K85:K85)</f>
        <v>0</v>
      </c>
      <c r="L84" s="128">
        <f>SUM(L85:L85)</f>
        <v>0</v>
      </c>
    </row>
    <row r="85" spans="2:12" s="120" customFormat="1" ht="13.5">
      <c r="B85" s="140"/>
      <c r="C85" s="123" t="s">
        <v>164</v>
      </c>
      <c r="D85" s="142"/>
      <c r="E85" s="142"/>
      <c r="F85" s="131"/>
      <c r="G85" s="132">
        <v>0</v>
      </c>
      <c r="H85" s="132">
        <v>1000000</v>
      </c>
      <c r="I85" s="132">
        <v>1000000</v>
      </c>
      <c r="J85" s="132">
        <v>0</v>
      </c>
      <c r="K85" s="132">
        <v>0</v>
      </c>
      <c r="L85" s="132">
        <v>0</v>
      </c>
    </row>
    <row r="86" ht="12.75">
      <c r="C86" t="s">
        <v>53</v>
      </c>
    </row>
    <row r="87" spans="8:11" ht="12.75">
      <c r="H87" s="39"/>
      <c r="I87" s="39"/>
      <c r="J87" s="39"/>
      <c r="K87" s="39"/>
    </row>
    <row r="88" spans="8:11" ht="12.75">
      <c r="H88" s="39"/>
      <c r="I88" s="39"/>
      <c r="J88" s="39"/>
      <c r="K88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59:F59"/>
    <mergeCell ref="C60:F60"/>
    <mergeCell ref="C61:F61"/>
    <mergeCell ref="C62:F62"/>
    <mergeCell ref="C63:F63"/>
    <mergeCell ref="C64:F64"/>
    <mergeCell ref="C72:F72"/>
    <mergeCell ref="C73:F73"/>
    <mergeCell ref="C75:F75"/>
    <mergeCell ref="C76:F76"/>
    <mergeCell ref="C77:F77"/>
    <mergeCell ref="C78:F78"/>
    <mergeCell ref="C79:F79"/>
    <mergeCell ref="C80:F80"/>
    <mergeCell ref="C81:F81"/>
    <mergeCell ref="H87:J87"/>
    <mergeCell ref="H88:J88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30" sqref="E30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4"/>
      <c r="B1" s="144"/>
      <c r="C1" s="144"/>
      <c r="D1" s="145" t="s">
        <v>194</v>
      </c>
      <c r="E1" s="146" t="str">
        <f>zał3!K2</f>
        <v>XXIV/145/2012</v>
      </c>
      <c r="F1" s="144"/>
      <c r="G1" s="144"/>
    </row>
    <row r="2" spans="1:7" ht="12" customHeight="1">
      <c r="A2" s="144" t="s">
        <v>195</v>
      </c>
      <c r="B2" s="144"/>
      <c r="C2" s="144"/>
      <c r="D2" s="144"/>
      <c r="E2" s="144"/>
      <c r="F2" s="144"/>
      <c r="G2" s="144"/>
    </row>
    <row r="3" spans="1:7" ht="12" customHeight="1">
      <c r="A3" s="144" t="str">
        <f>zał3!J4</f>
        <v>z dnia  12 lipca 2012r.</v>
      </c>
      <c r="B3" s="144"/>
      <c r="C3" s="144"/>
      <c r="D3" s="144"/>
      <c r="E3" s="144"/>
      <c r="F3" s="144"/>
      <c r="G3" s="144"/>
    </row>
    <row r="5" spans="2:7" ht="24.75" customHeight="1">
      <c r="B5" s="147" t="s">
        <v>196</v>
      </c>
      <c r="C5" s="147"/>
      <c r="D5" s="147"/>
      <c r="E5" s="147"/>
      <c r="F5" s="147"/>
      <c r="G5" s="147"/>
    </row>
    <row r="7" spans="2:7" ht="68.25" customHeight="1">
      <c r="B7" s="148" t="s">
        <v>197</v>
      </c>
      <c r="C7" s="148"/>
      <c r="D7" s="148"/>
      <c r="E7" s="148"/>
      <c r="F7" s="148"/>
      <c r="G7" s="148"/>
    </row>
    <row r="9" spans="1:6" ht="12.75" customHeight="1">
      <c r="A9" s="149" t="s">
        <v>198</v>
      </c>
      <c r="B9" s="150" t="str">
        <f>IF(C37&lt;=0,$C$41,$C$42)</f>
        <v>Zwiększyć</v>
      </c>
      <c r="C9" s="151" t="s">
        <v>199</v>
      </c>
      <c r="D9" s="151"/>
      <c r="E9" s="151"/>
      <c r="F9" s="95">
        <f>'Ogółem Zmiany w paragrafach '!D60</f>
        <v>1964162.52</v>
      </c>
    </row>
    <row r="10" ht="11.25" customHeight="1"/>
    <row r="11" spans="1:6" ht="12.75" customHeight="1">
      <c r="A11" s="149" t="s">
        <v>200</v>
      </c>
      <c r="B11" s="150" t="str">
        <f>IF(C38&lt;=0,$C$41,$C$42)</f>
        <v>Zwiększyć</v>
      </c>
      <c r="C11" s="151" t="s">
        <v>201</v>
      </c>
      <c r="D11" s="151"/>
      <c r="E11" s="151"/>
      <c r="F11" s="95">
        <f>'Ogółem Zmiany w paragrafach '!G60</f>
        <v>1964162.52</v>
      </c>
    </row>
    <row r="12" ht="12.75" customHeight="1"/>
    <row r="13" spans="1:6" ht="12.75" customHeight="1">
      <c r="A13" s="149" t="s">
        <v>202</v>
      </c>
      <c r="B13" s="152" t="s">
        <v>203</v>
      </c>
      <c r="C13" s="152"/>
      <c r="D13" s="152"/>
      <c r="E13" s="152"/>
      <c r="F13" s="153">
        <f>zał2!F8</f>
        <v>89868856.13</v>
      </c>
    </row>
    <row r="14" spans="2:6" ht="12.75" customHeight="1">
      <c r="B14" s="152" t="s">
        <v>204</v>
      </c>
      <c r="C14" s="152"/>
      <c r="D14" s="152"/>
      <c r="E14" s="152"/>
      <c r="F14" s="153">
        <f>zał2!F9</f>
        <v>60051545.13</v>
      </c>
    </row>
    <row r="15" spans="2:6" ht="12.75" customHeight="1">
      <c r="B15" s="154" t="s">
        <v>205</v>
      </c>
      <c r="C15" s="154"/>
      <c r="D15" s="154"/>
      <c r="E15" s="154"/>
      <c r="F15" s="153">
        <f>zał2!F10</f>
        <v>29817311</v>
      </c>
    </row>
    <row r="16" ht="12.75">
      <c r="F16" s="95"/>
    </row>
    <row r="17" spans="1:6" ht="12.75" customHeight="1">
      <c r="A17" s="149" t="s">
        <v>206</v>
      </c>
      <c r="B17" s="152" t="s">
        <v>207</v>
      </c>
      <c r="C17" s="152"/>
      <c r="D17" s="152"/>
      <c r="E17" s="152"/>
      <c r="F17" s="153">
        <f>zał2!F12</f>
        <v>91672621.13</v>
      </c>
    </row>
    <row r="18" spans="2:6" ht="15" customHeight="1">
      <c r="B18" s="155" t="s">
        <v>208</v>
      </c>
      <c r="C18" s="155"/>
      <c r="D18" s="155"/>
      <c r="E18" s="155"/>
      <c r="F18" s="153">
        <f>zał2!F13</f>
        <v>60368454.61</v>
      </c>
    </row>
    <row r="19" spans="2:6" ht="12.75" customHeight="1">
      <c r="B19" s="156" t="s">
        <v>209</v>
      </c>
      <c r="C19" s="156"/>
      <c r="D19" s="156"/>
      <c r="E19" s="156"/>
      <c r="F19" s="153">
        <f>zał2!F14</f>
        <v>31304166.52</v>
      </c>
    </row>
    <row r="21" spans="1:5" ht="12.75" customHeight="1">
      <c r="A21" s="157" t="s">
        <v>210</v>
      </c>
      <c r="B21" s="158" t="s">
        <v>211</v>
      </c>
      <c r="C21" s="158"/>
      <c r="D21" s="158"/>
      <c r="E21" s="158"/>
    </row>
    <row r="23" spans="1:7" ht="24.75" customHeight="1">
      <c r="A23" s="159" t="s">
        <v>212</v>
      </c>
      <c r="B23" s="160" t="s">
        <v>213</v>
      </c>
      <c r="C23" s="160"/>
      <c r="D23" s="160"/>
      <c r="E23" s="160"/>
      <c r="F23" s="160"/>
      <c r="G23" s="160"/>
    </row>
    <row r="26" spans="4:7" ht="12.75" customHeight="1">
      <c r="D26" s="161" t="s">
        <v>214</v>
      </c>
      <c r="E26" s="161"/>
      <c r="F26" s="161"/>
      <c r="G26" s="161"/>
    </row>
    <row r="28" spans="4:7" ht="12.75" customHeight="1">
      <c r="D28" s="161" t="s">
        <v>215</v>
      </c>
      <c r="E28" s="161"/>
      <c r="F28" s="161"/>
      <c r="G28" s="161"/>
    </row>
    <row r="29" ht="12.75">
      <c r="E29" s="162"/>
    </row>
    <row r="37" ht="12.75">
      <c r="C37" s="163">
        <f>'Ogółem Zmiany w paragrafach '!D37</f>
        <v>1964162.52</v>
      </c>
    </row>
    <row r="38" ht="12.75">
      <c r="C38" s="163">
        <f>'Ogółem Zmiany w paragrafach '!G37</f>
        <v>1964162.52</v>
      </c>
    </row>
    <row r="39" ht="12.75">
      <c r="C39" s="163"/>
    </row>
    <row r="40" ht="12.75">
      <c r="C40" s="163"/>
    </row>
    <row r="41" ht="12.75">
      <c r="C41" s="163" t="s">
        <v>216</v>
      </c>
    </row>
    <row r="42" ht="12.75">
      <c r="C42" s="163" t="s">
        <v>217</v>
      </c>
    </row>
  </sheetData>
  <sheetProtection selectLockedCells="1" selectUnlockedCells="1"/>
  <mergeCells count="16"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7" sqref="E7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40.8515625" style="0" customWidth="1"/>
    <col min="4" max="4" width="15.28125" style="0" customWidth="1"/>
    <col min="5" max="16384" width="11.57421875" style="0" customWidth="1"/>
  </cols>
  <sheetData>
    <row r="1" spans="1:4" ht="22.5">
      <c r="A1" s="164" t="s">
        <v>218</v>
      </c>
      <c r="B1" s="164"/>
      <c r="C1" s="164"/>
      <c r="D1" s="164"/>
    </row>
    <row r="2" spans="1:4" ht="24.75" customHeight="1">
      <c r="A2" s="165"/>
      <c r="B2" s="166"/>
      <c r="C2" s="166"/>
      <c r="D2" s="166"/>
    </row>
    <row r="3" spans="1:4" ht="17.25">
      <c r="A3" s="167" t="s">
        <v>219</v>
      </c>
      <c r="B3" s="167"/>
      <c r="C3" s="167" t="s">
        <v>220</v>
      </c>
      <c r="D3" s="167"/>
    </row>
    <row r="4" spans="1:4" ht="17.25">
      <c r="A4" s="168" t="s">
        <v>221</v>
      </c>
      <c r="B4" s="168"/>
      <c r="C4" s="168"/>
      <c r="D4" s="168"/>
    </row>
    <row r="5" spans="1:4" ht="40.5">
      <c r="A5" s="167"/>
      <c r="B5" s="167"/>
      <c r="C5" s="169" t="s">
        <v>222</v>
      </c>
      <c r="D5" s="170">
        <v>1715.52</v>
      </c>
    </row>
    <row r="6" spans="1:4" ht="17.25">
      <c r="A6" s="168" t="s">
        <v>223</v>
      </c>
      <c r="B6" s="168"/>
      <c r="C6" s="168"/>
      <c r="D6" s="168"/>
    </row>
    <row r="7" spans="1:4" ht="42" customHeight="1">
      <c r="A7" s="169"/>
      <c r="B7" s="170"/>
      <c r="C7" s="169" t="s">
        <v>224</v>
      </c>
      <c r="D7" s="170">
        <v>5400</v>
      </c>
    </row>
    <row r="8" spans="1:4" ht="17.25" customHeight="1">
      <c r="A8" s="171" t="s">
        <v>225</v>
      </c>
      <c r="B8" s="171"/>
      <c r="C8" s="171"/>
      <c r="D8" s="171"/>
    </row>
    <row r="9" spans="1:4" ht="29.25">
      <c r="A9" s="169"/>
      <c r="B9" s="170"/>
      <c r="C9" s="169" t="s">
        <v>226</v>
      </c>
      <c r="D9" s="170">
        <v>143754</v>
      </c>
    </row>
    <row r="10" spans="1:4" ht="29.25">
      <c r="A10" s="169"/>
      <c r="B10" s="170"/>
      <c r="C10" s="169" t="s">
        <v>227</v>
      </c>
      <c r="D10" s="170">
        <f>1267443-35000</f>
        <v>1232443</v>
      </c>
    </row>
    <row r="11" spans="1:4" ht="29.25">
      <c r="A11" s="169"/>
      <c r="B11" s="170"/>
      <c r="C11" s="169" t="s">
        <v>228</v>
      </c>
      <c r="D11" s="170">
        <v>50850</v>
      </c>
    </row>
    <row r="12" spans="1:4" ht="29.25">
      <c r="A12" s="169"/>
      <c r="B12" s="170"/>
      <c r="C12" s="169" t="s">
        <v>229</v>
      </c>
      <c r="D12" s="170">
        <v>-16000</v>
      </c>
    </row>
    <row r="13" spans="1:4" ht="57.75">
      <c r="A13" s="169"/>
      <c r="B13" s="170"/>
      <c r="C13" s="169" t="s">
        <v>230</v>
      </c>
      <c r="D13" s="170">
        <v>35000</v>
      </c>
    </row>
    <row r="14" spans="1:4" ht="17.25" customHeight="1">
      <c r="A14" s="171" t="s">
        <v>231</v>
      </c>
      <c r="B14" s="171"/>
      <c r="C14" s="171"/>
      <c r="D14" s="171"/>
    </row>
    <row r="15" spans="1:4" ht="29.25">
      <c r="A15" s="169"/>
      <c r="B15" s="170"/>
      <c r="C15" s="169" t="s">
        <v>232</v>
      </c>
      <c r="D15" s="170">
        <v>16000</v>
      </c>
    </row>
    <row r="16" spans="1:4" ht="17.25" customHeight="1">
      <c r="A16" s="171" t="s">
        <v>233</v>
      </c>
      <c r="B16" s="171"/>
      <c r="C16" s="171"/>
      <c r="D16" s="171"/>
    </row>
    <row r="17" spans="1:4" ht="29.25">
      <c r="A17" s="169"/>
      <c r="B17" s="170"/>
      <c r="C17" s="169" t="s">
        <v>234</v>
      </c>
      <c r="D17" s="170">
        <v>0</v>
      </c>
    </row>
    <row r="18" spans="1:4" ht="17.25" customHeight="1">
      <c r="A18" s="171" t="s">
        <v>235</v>
      </c>
      <c r="B18" s="171"/>
      <c r="C18" s="171"/>
      <c r="D18" s="171"/>
    </row>
    <row r="19" spans="1:4" ht="29.25">
      <c r="A19" s="169" t="s">
        <v>236</v>
      </c>
      <c r="B19" s="170">
        <v>1964162.52</v>
      </c>
      <c r="C19" s="169"/>
      <c r="D19" s="170"/>
    </row>
    <row r="20" spans="1:4" ht="17.25" customHeight="1">
      <c r="A20" s="171" t="s">
        <v>237</v>
      </c>
      <c r="B20" s="171"/>
      <c r="C20" s="171"/>
      <c r="D20" s="171"/>
    </row>
    <row r="21" spans="1:4" ht="29.25">
      <c r="A21" s="169"/>
      <c r="B21" s="170"/>
      <c r="C21" s="169" t="s">
        <v>238</v>
      </c>
      <c r="D21" s="170">
        <v>0</v>
      </c>
    </row>
    <row r="22" spans="1:4" ht="18" customHeight="1">
      <c r="A22" s="171" t="s">
        <v>239</v>
      </c>
      <c r="B22" s="171"/>
      <c r="C22" s="171"/>
      <c r="D22" s="171"/>
    </row>
    <row r="23" spans="1:4" ht="43.5">
      <c r="A23" s="169"/>
      <c r="B23" s="170"/>
      <c r="C23" s="169" t="s">
        <v>240</v>
      </c>
      <c r="D23" s="170">
        <v>495000</v>
      </c>
    </row>
    <row r="24" spans="1:4" ht="17.25">
      <c r="A24" s="172" t="s">
        <v>241</v>
      </c>
      <c r="B24" s="170">
        <f>SUM(B7:B23)</f>
        <v>1964162.52</v>
      </c>
      <c r="C24" s="172" t="s">
        <v>241</v>
      </c>
      <c r="D24" s="170">
        <f>SUM(D5:D23)</f>
        <v>1964162.52</v>
      </c>
    </row>
    <row r="25" spans="1:2" ht="12.75">
      <c r="A25" s="173" t="s">
        <v>242</v>
      </c>
      <c r="B25" s="95"/>
    </row>
  </sheetData>
  <sheetProtection selectLockedCells="1" selectUnlockedCells="1"/>
  <mergeCells count="11">
    <mergeCell ref="A1:D1"/>
    <mergeCell ref="A3:B3"/>
    <mergeCell ref="C3:D3"/>
    <mergeCell ref="A4:D4"/>
    <mergeCell ref="A6:D6"/>
    <mergeCell ref="A8:D8"/>
    <mergeCell ref="A14:D14"/>
    <mergeCell ref="A16:D16"/>
    <mergeCell ref="A18:D18"/>
    <mergeCell ref="A20:D20"/>
    <mergeCell ref="A22:D22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4" sqref="D34"/>
    </sheetView>
  </sheetViews>
  <sheetFormatPr defaultColWidth="12.57421875" defaultRowHeight="12.75"/>
  <cols>
    <col min="1" max="1" width="4.00390625" style="0" customWidth="1"/>
    <col min="2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4"/>
      <c r="B1" s="144"/>
      <c r="C1" s="144"/>
      <c r="D1" s="145" t="s">
        <v>243</v>
      </c>
      <c r="E1" s="146" t="str">
        <f>zał3!K2</f>
        <v>XXIV/145/2012</v>
      </c>
      <c r="F1" s="144"/>
      <c r="G1" s="144"/>
    </row>
    <row r="2" spans="1:7" ht="12.75">
      <c r="A2" s="144"/>
      <c r="B2" s="144"/>
      <c r="C2" s="144"/>
      <c r="D2" s="144" t="s">
        <v>63</v>
      </c>
      <c r="E2" s="144"/>
      <c r="F2" s="144"/>
      <c r="G2" s="144"/>
    </row>
    <row r="3" spans="1:7" ht="12.75">
      <c r="A3" s="144" t="str">
        <f>zał3!J4</f>
        <v>z dnia  12 lipca 2012r.</v>
      </c>
      <c r="B3" s="144"/>
      <c r="C3" s="144"/>
      <c r="D3" s="144"/>
      <c r="E3" s="144"/>
      <c r="F3" s="144"/>
      <c r="G3" s="144"/>
    </row>
    <row r="5" spans="2:7" ht="24.75" customHeight="1">
      <c r="B5" s="147" t="s">
        <v>196</v>
      </c>
      <c r="C5" s="147"/>
      <c r="D5" s="147"/>
      <c r="E5" s="147"/>
      <c r="F5" s="147"/>
      <c r="G5" s="147"/>
    </row>
    <row r="7" spans="2:7" ht="30.75" customHeight="1">
      <c r="B7" s="174" t="s">
        <v>244</v>
      </c>
      <c r="C7" s="174"/>
      <c r="D7" s="174"/>
      <c r="E7" s="174"/>
      <c r="F7" s="174"/>
      <c r="G7" s="174"/>
    </row>
    <row r="8" s="163" customFormat="1" ht="10.5" customHeight="1"/>
    <row r="9" spans="1:6" s="163" customFormat="1" ht="18" customHeight="1">
      <c r="A9" s="175" t="s">
        <v>198</v>
      </c>
      <c r="B9" s="176" t="str">
        <f>'Uchwała '!B9</f>
        <v>Zwiększyć</v>
      </c>
      <c r="C9" s="177" t="s">
        <v>199</v>
      </c>
      <c r="D9" s="177"/>
      <c r="E9" s="177"/>
      <c r="F9" s="153">
        <f>'Ogółem Zmiany w paragrafach '!D60</f>
        <v>1964162.52</v>
      </c>
    </row>
    <row r="10" s="163" customFormat="1" ht="10.5" customHeight="1"/>
    <row r="11" spans="1:6" s="163" customFormat="1" ht="18" customHeight="1">
      <c r="A11" s="175" t="s">
        <v>200</v>
      </c>
      <c r="B11" s="176" t="str">
        <f>'Uchwała '!B11</f>
        <v>Zwiększyć</v>
      </c>
      <c r="C11" s="177" t="s">
        <v>201</v>
      </c>
      <c r="D11" s="177"/>
      <c r="E11" s="177"/>
      <c r="F11" s="153">
        <f>'Ogółem Zmiany w paragrafach '!G60</f>
        <v>1964162.52</v>
      </c>
    </row>
    <row r="12" s="163" customFormat="1" ht="11.25" customHeight="1"/>
    <row r="13" spans="1:6" s="163" customFormat="1" ht="18" customHeight="1">
      <c r="A13" s="175" t="s">
        <v>202</v>
      </c>
      <c r="B13" s="178" t="s">
        <v>203</v>
      </c>
      <c r="C13" s="178"/>
      <c r="D13" s="178"/>
      <c r="E13" s="178"/>
      <c r="F13" s="153">
        <f>zał2!F8</f>
        <v>89868856.13</v>
      </c>
    </row>
    <row r="14" spans="2:6" s="163" customFormat="1" ht="18" customHeight="1">
      <c r="B14" s="178" t="s">
        <v>204</v>
      </c>
      <c r="C14" s="178"/>
      <c r="D14" s="178"/>
      <c r="E14" s="178"/>
      <c r="F14" s="153">
        <f>zał2!F9</f>
        <v>60051545.13</v>
      </c>
    </row>
    <row r="15" spans="2:6" s="163" customFormat="1" ht="18.75" customHeight="1">
      <c r="B15" s="179" t="s">
        <v>205</v>
      </c>
      <c r="C15" s="179"/>
      <c r="D15" s="179"/>
      <c r="E15" s="179"/>
      <c r="F15" s="153">
        <f>zał2!F10</f>
        <v>29817311</v>
      </c>
    </row>
    <row r="16" s="163" customFormat="1" ht="12" customHeight="1">
      <c r="F16" s="153"/>
    </row>
    <row r="17" spans="1:6" s="163" customFormat="1" ht="18" customHeight="1">
      <c r="A17" s="175" t="s">
        <v>206</v>
      </c>
      <c r="B17" s="178" t="s">
        <v>207</v>
      </c>
      <c r="C17" s="178"/>
      <c r="D17" s="178"/>
      <c r="E17" s="178"/>
      <c r="F17" s="153">
        <f>zał2!F12</f>
        <v>91672621.13</v>
      </c>
    </row>
    <row r="18" spans="2:6" s="163" customFormat="1" ht="21" customHeight="1">
      <c r="B18" s="180" t="s">
        <v>208</v>
      </c>
      <c r="C18" s="180"/>
      <c r="D18" s="180"/>
      <c r="E18" s="180"/>
      <c r="F18" s="153">
        <f>zał2!F13</f>
        <v>60368454.61</v>
      </c>
    </row>
    <row r="19" spans="2:6" s="163" customFormat="1" ht="18.75" customHeight="1">
      <c r="B19" s="181" t="s">
        <v>209</v>
      </c>
      <c r="C19" s="181"/>
      <c r="D19" s="181"/>
      <c r="E19" s="181"/>
      <c r="F19" s="153">
        <f>zał2!F14</f>
        <v>31304166.52</v>
      </c>
    </row>
    <row r="21" spans="1:7" ht="24.75" customHeight="1">
      <c r="A21" s="157" t="s">
        <v>210</v>
      </c>
      <c r="B21" s="182" t="s">
        <v>245</v>
      </c>
      <c r="C21" s="182"/>
      <c r="D21" s="182"/>
      <c r="E21" s="182"/>
      <c r="F21" s="182"/>
      <c r="G21" s="182"/>
    </row>
    <row r="24" spans="4:7" ht="12.75" customHeight="1">
      <c r="D24" s="161" t="s">
        <v>246</v>
      </c>
      <c r="E24" s="161"/>
      <c r="F24" s="161"/>
      <c r="G24" s="161"/>
    </row>
    <row r="26" spans="4:7" ht="12.75" customHeight="1">
      <c r="D26" s="161" t="s">
        <v>247</v>
      </c>
      <c r="E26" s="161"/>
      <c r="F26" s="161"/>
      <c r="G26" s="161"/>
    </row>
  </sheetData>
  <sheetProtection selectLockedCells="1" selectUnlockedCells="1"/>
  <mergeCells count="15">
    <mergeCell ref="D2:E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H29" sqref="H29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83" t="s">
        <v>248</v>
      </c>
      <c r="B1" s="183"/>
      <c r="C1" s="183"/>
      <c r="D1" s="183"/>
      <c r="E1" s="183"/>
      <c r="F1" s="183"/>
      <c r="G1" s="183"/>
      <c r="H1" s="183"/>
    </row>
    <row r="2" spans="1:8" ht="15">
      <c r="A2" s="138"/>
      <c r="B2" s="138"/>
      <c r="C2" s="184" t="s">
        <v>249</v>
      </c>
      <c r="D2" s="184"/>
      <c r="E2" s="184"/>
      <c r="F2" s="184" t="s">
        <v>250</v>
      </c>
      <c r="G2" s="184"/>
      <c r="H2" s="184"/>
    </row>
    <row r="3" spans="1:15" ht="65.25" customHeight="1">
      <c r="A3" s="185" t="s">
        <v>251</v>
      </c>
      <c r="B3" s="185" t="s">
        <v>252</v>
      </c>
      <c r="C3" s="186" t="s">
        <v>253</v>
      </c>
      <c r="D3" s="185" t="s">
        <v>254</v>
      </c>
      <c r="E3" s="185" t="s">
        <v>255</v>
      </c>
      <c r="F3" s="186" t="s">
        <v>253</v>
      </c>
      <c r="G3" s="185" t="s">
        <v>254</v>
      </c>
      <c r="H3" s="185" t="s">
        <v>255</v>
      </c>
      <c r="I3" s="187"/>
      <c r="J3" s="187"/>
      <c r="K3" s="188"/>
      <c r="L3" s="189" t="s">
        <v>256</v>
      </c>
      <c r="M3" s="189" t="s">
        <v>256</v>
      </c>
      <c r="N3" s="189" t="s">
        <v>257</v>
      </c>
      <c r="O3" s="189"/>
    </row>
    <row r="4" spans="1:15" ht="12.75">
      <c r="A4" s="190"/>
      <c r="B4" s="191"/>
      <c r="C4" s="191"/>
      <c r="D4" s="192"/>
      <c r="E4" s="192"/>
      <c r="F4" s="193"/>
      <c r="G4" s="192"/>
      <c r="H4" s="192"/>
      <c r="I4" s="194"/>
      <c r="L4" s="19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5">
        <f>IF($B4=75022,G4,0)+IF($B4=75023,G4,0)</f>
        <v>0</v>
      </c>
      <c r="O4" s="195">
        <f>IF($B4=75022,H4,0)+IF($B4=75023,H4,0)</f>
        <v>0</v>
      </c>
    </row>
    <row r="5" spans="1:15" ht="12.75">
      <c r="A5" s="190" t="s">
        <v>258</v>
      </c>
      <c r="B5" s="191" t="s">
        <v>259</v>
      </c>
      <c r="C5" s="191" t="s">
        <v>260</v>
      </c>
      <c r="D5" s="192"/>
      <c r="E5" s="192">
        <f>SUM(H6:H14)</f>
        <v>1964162.52</v>
      </c>
      <c r="F5" s="193"/>
      <c r="G5" s="192"/>
      <c r="H5" s="192"/>
      <c r="I5" s="196"/>
      <c r="L5" s="19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5">
        <f>IF($B5=75022,G5,0)+IF($B5=75023,G5,0)</f>
        <v>0</v>
      </c>
      <c r="O5" s="195">
        <f>IF($B5=75022,H5,0)+IF($B5=75023,H5,0)</f>
        <v>0</v>
      </c>
    </row>
    <row r="6" spans="1:15" ht="12.75">
      <c r="A6" s="190"/>
      <c r="B6" s="191" t="s">
        <v>261</v>
      </c>
      <c r="C6" s="191"/>
      <c r="D6" s="192"/>
      <c r="E6" s="192"/>
      <c r="F6" s="193">
        <v>6059</v>
      </c>
      <c r="G6" s="192"/>
      <c r="H6" s="192">
        <v>1715.52</v>
      </c>
      <c r="I6" s="196"/>
      <c r="L6" s="19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5">
        <f>IF($B6=75022,G6,0)+IF($B6=75023,G6,0)</f>
        <v>0</v>
      </c>
      <c r="O6" s="195">
        <f>IF($B6=75022,H6,0)+IF($B6=75023,H6,0)</f>
        <v>0</v>
      </c>
    </row>
    <row r="7" spans="1:15" ht="12.75">
      <c r="A7" s="190"/>
      <c r="B7" s="191"/>
      <c r="C7" s="191"/>
      <c r="D7" s="192"/>
      <c r="E7" s="192"/>
      <c r="F7" s="193"/>
      <c r="G7" s="192"/>
      <c r="H7" s="192"/>
      <c r="I7" s="196"/>
      <c r="L7" s="19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5">
        <f>IF($B7=75022,G7,0)+IF($B7=75023,G7,0)</f>
        <v>0</v>
      </c>
      <c r="O7" s="195">
        <f>IF($B7=75022,H7,0)+IF($B7=75023,H7,0)</f>
        <v>0</v>
      </c>
    </row>
    <row r="8" spans="1:15" ht="12.75">
      <c r="A8" s="190"/>
      <c r="B8" s="191" t="s">
        <v>262</v>
      </c>
      <c r="C8" s="191"/>
      <c r="D8" s="192"/>
      <c r="E8" s="192"/>
      <c r="F8" s="193">
        <v>6050</v>
      </c>
      <c r="G8" s="192"/>
      <c r="H8" s="192">
        <v>5400</v>
      </c>
      <c r="I8" s="196"/>
      <c r="L8" s="19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5">
        <f>IF($B8=75022,G8,0)+IF($B8=75023,G8,0)</f>
        <v>0</v>
      </c>
      <c r="O8" s="195">
        <f>IF($B8=75022,H8,0)+IF($B8=75023,H8,0)</f>
        <v>0</v>
      </c>
    </row>
    <row r="9" spans="1:15" ht="12.75">
      <c r="A9" s="190"/>
      <c r="B9" s="197" t="s">
        <v>263</v>
      </c>
      <c r="C9" s="197"/>
      <c r="D9" s="198"/>
      <c r="E9" s="198"/>
      <c r="F9" s="199">
        <v>6050</v>
      </c>
      <c r="G9" s="198"/>
      <c r="H9" s="198">
        <v>35000</v>
      </c>
      <c r="I9" s="196"/>
      <c r="L9" s="19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5">
        <f>IF($B9=75022,G9,0)+IF($B9=75023,G9,0)</f>
        <v>0</v>
      </c>
      <c r="O9" s="195">
        <f>IF($B9=75022,H9,0)+IF($B9=75023,H9,0)</f>
        <v>0</v>
      </c>
    </row>
    <row r="10" spans="1:15" ht="12.75">
      <c r="A10" s="190"/>
      <c r="B10" s="191" t="s">
        <v>263</v>
      </c>
      <c r="C10" s="191"/>
      <c r="D10" s="192"/>
      <c r="E10" s="192"/>
      <c r="F10" s="193">
        <v>6059</v>
      </c>
      <c r="G10" s="192"/>
      <c r="H10" s="192">
        <v>194604</v>
      </c>
      <c r="I10" s="196"/>
      <c r="L10" s="19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5">
        <f>IF($B10=75022,G10,0)+IF($B10=75023,G10,0)</f>
        <v>0</v>
      </c>
      <c r="O10" s="195">
        <f>IF($B10=75022,H10,0)+IF($B10=75023,H10,0)</f>
        <v>0</v>
      </c>
    </row>
    <row r="11" spans="1:15" ht="12.75">
      <c r="A11" s="190"/>
      <c r="B11" s="191"/>
      <c r="C11" s="191"/>
      <c r="D11" s="192"/>
      <c r="E11" s="192"/>
      <c r="F11" s="200">
        <v>4300</v>
      </c>
      <c r="G11" s="201">
        <v>16000</v>
      </c>
      <c r="H11" s="192"/>
      <c r="I11" s="196"/>
      <c r="L11" s="195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5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5">
        <f>IF($B11=75022,G11,0)+IF($B11=75023,G11,0)</f>
        <v>0</v>
      </c>
      <c r="O11" s="195">
        <f>IF($B11=75022,H11,0)+IF($B11=75023,H11,0)</f>
        <v>0</v>
      </c>
    </row>
    <row r="12" spans="1:15" ht="12.75">
      <c r="A12" s="190"/>
      <c r="B12" s="191" t="s">
        <v>264</v>
      </c>
      <c r="C12" s="191"/>
      <c r="D12" s="192"/>
      <c r="E12" s="192"/>
      <c r="F12" s="193">
        <v>6050</v>
      </c>
      <c r="G12" s="192"/>
      <c r="H12" s="198">
        <f>1267443-35000</f>
        <v>1232443</v>
      </c>
      <c r="I12" s="196"/>
      <c r="L12" s="195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5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5">
        <f>IF($B12=75022,G12,0)+IF($B12=75023,G12,0)</f>
        <v>0</v>
      </c>
      <c r="O12" s="195">
        <f>IF($B12=75022,H12,0)+IF($B12=75023,H12,0)</f>
        <v>0</v>
      </c>
    </row>
    <row r="13" spans="1:15" ht="12.75">
      <c r="A13" s="190"/>
      <c r="B13" s="191"/>
      <c r="C13" s="191"/>
      <c r="D13" s="192"/>
      <c r="E13" s="192"/>
      <c r="F13" s="193"/>
      <c r="G13" s="192"/>
      <c r="H13" s="192"/>
      <c r="I13" s="196"/>
      <c r="L13" s="195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5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5">
        <f>IF($B13=75022,G13,0)+IF($B13=75023,G13,0)</f>
        <v>0</v>
      </c>
      <c r="O13" s="195">
        <f>IF($B13=75022,H13,0)+IF($B13=75023,H13,0)</f>
        <v>0</v>
      </c>
    </row>
    <row r="14" spans="1:15" ht="12.75">
      <c r="A14" s="190"/>
      <c r="B14" s="191" t="s">
        <v>265</v>
      </c>
      <c r="C14" s="191"/>
      <c r="D14" s="192"/>
      <c r="E14" s="192"/>
      <c r="F14" s="193">
        <v>6059</v>
      </c>
      <c r="G14" s="192"/>
      <c r="H14" s="192">
        <v>495000</v>
      </c>
      <c r="I14" s="196"/>
      <c r="L14" s="195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5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5">
        <f>IF($B14=75022,G14,0)+IF($B14=75023,G14,0)</f>
        <v>0</v>
      </c>
      <c r="O14" s="195">
        <f>IF($B14=75022,H14,0)+IF($B14=75023,H14,0)</f>
        <v>0</v>
      </c>
    </row>
    <row r="15" spans="1:15" ht="12.75">
      <c r="A15" s="190"/>
      <c r="B15" s="202" t="s">
        <v>266</v>
      </c>
      <c r="C15" s="202"/>
      <c r="D15" s="201"/>
      <c r="E15" s="201"/>
      <c r="F15" s="200">
        <v>4210</v>
      </c>
      <c r="G15" s="201"/>
      <c r="H15" s="201">
        <v>16000</v>
      </c>
      <c r="I15" s="196"/>
      <c r="L15" s="195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5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5">
        <f>IF($B15=75022,G15,0)+IF($B15=75023,G15,0)</f>
        <v>0</v>
      </c>
      <c r="O15" s="195">
        <f>IF($B15=75022,H15,0)+IF($B15=75023,H15,0)</f>
        <v>0</v>
      </c>
    </row>
    <row r="16" spans="1:15" ht="12.75">
      <c r="A16" s="190"/>
      <c r="B16" s="191"/>
      <c r="C16" s="191"/>
      <c r="D16" s="192"/>
      <c r="E16" s="192"/>
      <c r="F16" s="193"/>
      <c r="G16" s="192"/>
      <c r="H16" s="192"/>
      <c r="I16" s="196"/>
      <c r="L16" s="195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5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95">
        <f>IF($B16=75022,G16,0)+IF($B16=75023,G16,0)</f>
        <v>0</v>
      </c>
      <c r="O16" s="195">
        <f>IF($B16=75022,H16,0)+IF($B16=75023,H16,0)</f>
        <v>0</v>
      </c>
    </row>
    <row r="17" spans="1:15" ht="12.75">
      <c r="A17" s="190"/>
      <c r="B17" s="202" t="s">
        <v>267</v>
      </c>
      <c r="C17" s="202"/>
      <c r="D17" s="201"/>
      <c r="E17" s="201"/>
      <c r="F17" s="200">
        <v>4410</v>
      </c>
      <c r="G17" s="201">
        <v>200</v>
      </c>
      <c r="H17" s="201"/>
      <c r="I17" s="196"/>
      <c r="L17" s="195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5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5">
        <f>IF($B17=75022,G17,0)+IF($B17=75023,G17,0)</f>
        <v>0</v>
      </c>
      <c r="O17" s="195">
        <f>IF($B17=75022,H17,0)+IF($B17=75023,H17,0)</f>
        <v>0</v>
      </c>
    </row>
    <row r="18" spans="1:15" ht="12.75">
      <c r="A18" s="190"/>
      <c r="B18" s="202"/>
      <c r="C18" s="202"/>
      <c r="D18" s="201"/>
      <c r="E18" s="201"/>
      <c r="F18" s="200">
        <v>4420</v>
      </c>
      <c r="G18" s="201"/>
      <c r="H18" s="201">
        <v>200</v>
      </c>
      <c r="I18" s="196"/>
      <c r="L18" s="195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95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95">
        <f>IF($B18=75022,G18,0)+IF($B18=75023,G18,0)</f>
        <v>0</v>
      </c>
      <c r="O18" s="195">
        <f>IF($B18=75022,H18,0)+IF($B18=75023,H18,0)</f>
        <v>0</v>
      </c>
    </row>
    <row r="19" spans="1:15" ht="12.75">
      <c r="A19" s="190"/>
      <c r="B19" s="202" t="s">
        <v>268</v>
      </c>
      <c r="C19" s="202"/>
      <c r="D19" s="201"/>
      <c r="E19" s="201"/>
      <c r="F19" s="200">
        <v>4170</v>
      </c>
      <c r="G19" s="201"/>
      <c r="H19" s="201">
        <v>756</v>
      </c>
      <c r="I19" s="196"/>
      <c r="L19" s="195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5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756</v>
      </c>
      <c r="N19" s="195">
        <f>IF($B19=75022,G19,0)+IF($B19=75023,G19,0)</f>
        <v>0</v>
      </c>
      <c r="O19" s="195">
        <f>IF($B19=75022,H19,0)+IF($B19=75023,H19,0)</f>
        <v>0</v>
      </c>
    </row>
    <row r="20" spans="1:15" ht="12.75">
      <c r="A20" s="190"/>
      <c r="B20" s="202"/>
      <c r="C20" s="202"/>
      <c r="D20" s="201"/>
      <c r="E20" s="201"/>
      <c r="F20" s="200">
        <v>4210</v>
      </c>
      <c r="G20" s="201">
        <v>756</v>
      </c>
      <c r="H20" s="201"/>
      <c r="I20" s="196"/>
      <c r="L20" s="195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5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5">
        <f>IF($B20=75022,G20,0)+IF($B20=75023,G20,0)</f>
        <v>0</v>
      </c>
      <c r="O20" s="195">
        <f>IF($B20=75022,H20,0)+IF($B20=75023,H20,0)</f>
        <v>0</v>
      </c>
    </row>
    <row r="21" spans="1:15" ht="12.75">
      <c r="A21" s="190" t="s">
        <v>269</v>
      </c>
      <c r="B21" s="202"/>
      <c r="C21" s="202"/>
      <c r="D21" s="201"/>
      <c r="E21" s="201"/>
      <c r="F21" s="200"/>
      <c r="G21" s="201"/>
      <c r="H21" s="201"/>
      <c r="I21" s="196"/>
      <c r="L21" s="195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5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5">
        <f>IF($B21=75022,G21,0)+IF($B21=75023,G21,0)</f>
        <v>0</v>
      </c>
      <c r="O21" s="195">
        <f>IF($B21=75022,H21,0)+IF($B21=75023,H21,0)</f>
        <v>0</v>
      </c>
    </row>
    <row r="22" spans="1:15" ht="36.75">
      <c r="A22" s="203" t="s">
        <v>270</v>
      </c>
      <c r="B22" s="202" t="s">
        <v>271</v>
      </c>
      <c r="C22" s="202" t="s">
        <v>272</v>
      </c>
      <c r="D22" s="201">
        <v>143250</v>
      </c>
      <c r="E22" s="201"/>
      <c r="F22" s="200"/>
      <c r="G22" s="201"/>
      <c r="H22" s="201"/>
      <c r="I22" s="196"/>
      <c r="L22" s="195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5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5">
        <f>IF($B22=75022,G22,0)+IF($B22=75023,G22,0)</f>
        <v>0</v>
      </c>
      <c r="O22" s="195">
        <f>IF($B22=75022,H22,0)+IF($B22=75023,H22,0)</f>
        <v>0</v>
      </c>
    </row>
    <row r="23" spans="1:15" ht="48.75">
      <c r="A23" s="203" t="s">
        <v>273</v>
      </c>
      <c r="B23" s="202"/>
      <c r="C23" s="202" t="s">
        <v>274</v>
      </c>
      <c r="D23" s="201"/>
      <c r="E23" s="201">
        <v>143250</v>
      </c>
      <c r="F23" s="200"/>
      <c r="G23" s="201"/>
      <c r="H23" s="201"/>
      <c r="I23" s="196"/>
      <c r="L23" s="195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5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5">
        <f>IF($B23=75022,G23,0)+IF($B23=75023,G23,0)</f>
        <v>0</v>
      </c>
      <c r="O23" s="195">
        <f>IF($B23=75022,H23,0)+IF($B23=75023,H23,0)</f>
        <v>0</v>
      </c>
    </row>
    <row r="24" spans="1:15" ht="12.75">
      <c r="A24" s="190"/>
      <c r="B24" s="191"/>
      <c r="C24" s="191"/>
      <c r="D24" s="192"/>
      <c r="E24" s="192"/>
      <c r="F24" s="193"/>
      <c r="G24" s="192"/>
      <c r="H24" s="192"/>
      <c r="I24" s="196"/>
      <c r="L24" s="195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5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5">
        <f>IF($B24=75022,G24,0)+IF($B24=75023,G24,0)</f>
        <v>0</v>
      </c>
      <c r="O24" s="195">
        <f>IF($B24=75022,H24,0)+IF($B24=75023,H24,0)</f>
        <v>0</v>
      </c>
    </row>
    <row r="25" spans="1:15" ht="12.75">
      <c r="A25" s="190"/>
      <c r="B25" s="191"/>
      <c r="C25" s="191"/>
      <c r="D25" s="192"/>
      <c r="E25" s="192"/>
      <c r="F25" s="193"/>
      <c r="G25" s="192"/>
      <c r="H25" s="192"/>
      <c r="I25" s="196"/>
      <c r="L25" s="195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5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5">
        <f>IF($B25=75022,G25,0)+IF($B25=75023,G25,0)</f>
        <v>0</v>
      </c>
      <c r="O25" s="195">
        <f>IF($B25=75022,H25,0)+IF($B25=75023,H25,0)</f>
        <v>0</v>
      </c>
    </row>
    <row r="26" spans="1:15" ht="12.75">
      <c r="A26" s="190"/>
      <c r="B26" s="191"/>
      <c r="C26" s="191"/>
      <c r="D26" s="192"/>
      <c r="E26" s="192"/>
      <c r="F26" s="193"/>
      <c r="G26" s="192"/>
      <c r="H26" s="192"/>
      <c r="I26" s="196"/>
      <c r="L26" s="195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5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5">
        <f>IF($B26=75022,G26,0)+IF($B26=75023,G26,0)</f>
        <v>0</v>
      </c>
      <c r="O26" s="195">
        <f>IF($B26=75022,H26,0)+IF($B26=75023,H26,0)</f>
        <v>0</v>
      </c>
    </row>
    <row r="27" spans="1:15" ht="12.75">
      <c r="A27" s="190"/>
      <c r="B27" s="191"/>
      <c r="C27" s="191"/>
      <c r="D27" s="192"/>
      <c r="E27" s="192"/>
      <c r="F27" s="193"/>
      <c r="G27" s="192"/>
      <c r="H27" s="192"/>
      <c r="I27" s="196"/>
      <c r="L27" s="195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5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5">
        <f>IF($B27=75022,G27,0)+IF($B27=75023,G27,0)</f>
        <v>0</v>
      </c>
      <c r="O27" s="195">
        <f>IF($B27=75022,H27,0)+IF($B27=75023,H27,0)</f>
        <v>0</v>
      </c>
    </row>
    <row r="28" spans="1:15" ht="12.75">
      <c r="A28" s="190"/>
      <c r="B28" s="191"/>
      <c r="C28" s="191"/>
      <c r="D28" s="192"/>
      <c r="E28" s="192"/>
      <c r="F28" s="193"/>
      <c r="G28" s="192"/>
      <c r="H28" s="192"/>
      <c r="I28" s="196"/>
      <c r="L28" s="195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5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5">
        <f>IF($B28=75022,G28,0)+IF($B28=75023,G28,0)</f>
        <v>0</v>
      </c>
      <c r="O28" s="195">
        <f>IF($B28=75022,H28,0)+IF($B28=75023,H28,0)</f>
        <v>0</v>
      </c>
    </row>
    <row r="29" spans="1:15" ht="12.75">
      <c r="A29" s="190"/>
      <c r="B29" s="191"/>
      <c r="C29" s="191"/>
      <c r="D29" s="192"/>
      <c r="E29" s="192"/>
      <c r="F29" s="193"/>
      <c r="G29" s="192"/>
      <c r="H29" s="192"/>
      <c r="I29" s="196"/>
      <c r="L29" s="195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5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5">
        <f>IF($B29=75022,G29,0)+IF($B29=75023,G29,0)</f>
        <v>0</v>
      </c>
      <c r="O29" s="195">
        <f>IF($B29=75022,H29,0)+IF($B29=75023,H29,0)</f>
        <v>0</v>
      </c>
    </row>
    <row r="30" spans="1:15" ht="12.75">
      <c r="A30" s="190"/>
      <c r="B30" s="191"/>
      <c r="C30" s="191"/>
      <c r="D30" s="192"/>
      <c r="E30" s="192"/>
      <c r="F30" s="193"/>
      <c r="G30" s="192"/>
      <c r="H30" s="192"/>
      <c r="I30" s="196"/>
      <c r="L30" s="195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5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95">
        <f>IF($B30=75022,G30,0)+IF($B30=75023,G30,0)</f>
        <v>0</v>
      </c>
      <c r="O30" s="195">
        <f>IF($B30=75022,H30,0)+IF($B30=75023,H30,0)</f>
        <v>0</v>
      </c>
    </row>
    <row r="31" spans="1:15" ht="12.75">
      <c r="A31" s="190"/>
      <c r="B31" s="191"/>
      <c r="C31" s="191"/>
      <c r="D31" s="192"/>
      <c r="E31" s="192"/>
      <c r="F31" s="193"/>
      <c r="G31" s="192"/>
      <c r="H31" s="192"/>
      <c r="I31" s="196"/>
      <c r="L31" s="195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95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5">
        <f>IF($B31=75022,G31,0)+IF($B31=75023,G31,0)</f>
        <v>0</v>
      </c>
      <c r="O31" s="195">
        <f>IF($B31=75022,H31,0)+IF($B31=75023,H31,0)</f>
        <v>0</v>
      </c>
    </row>
    <row r="32" spans="1:15" ht="12.75">
      <c r="A32" s="190"/>
      <c r="B32" s="191"/>
      <c r="C32" s="191"/>
      <c r="D32" s="192"/>
      <c r="E32" s="192"/>
      <c r="F32" s="193"/>
      <c r="G32" s="192"/>
      <c r="H32" s="192"/>
      <c r="I32" s="196"/>
      <c r="L32" s="195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5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5">
        <f>IF($B32=75022,G32,0)+IF($B32=75023,G32,0)</f>
        <v>0</v>
      </c>
      <c r="O32" s="195">
        <f>IF($B32=75022,H32,0)+IF($B32=75023,H32,0)</f>
        <v>0</v>
      </c>
    </row>
    <row r="33" spans="1:15" ht="12.75">
      <c r="A33" s="190"/>
      <c r="B33" s="191"/>
      <c r="C33" s="191"/>
      <c r="D33" s="192"/>
      <c r="E33" s="192"/>
      <c r="F33" s="193"/>
      <c r="G33" s="192"/>
      <c r="H33" s="192"/>
      <c r="I33" s="196"/>
      <c r="L33" s="195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5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95">
        <f>IF($B33=75022,G33,0)+IF($B33=75023,G33,0)</f>
        <v>0</v>
      </c>
      <c r="O33" s="195">
        <f>IF($B33=75022,H33,0)+IF($B33=75023,H33,0)</f>
        <v>0</v>
      </c>
    </row>
    <row r="34" spans="1:15" ht="12.75">
      <c r="A34" s="190"/>
      <c r="B34" s="191"/>
      <c r="C34" s="191"/>
      <c r="D34" s="192"/>
      <c r="E34" s="192"/>
      <c r="F34" s="193"/>
      <c r="G34" s="192"/>
      <c r="H34" s="192"/>
      <c r="I34" s="194"/>
      <c r="L34" s="195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5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95">
        <f>IF($B34=75022,G34,0)+IF($B34=75023,G34,0)</f>
        <v>0</v>
      </c>
      <c r="O34" s="195">
        <f>IF($B34=75022,H34,0)+IF($B34=75023,H34,0)</f>
        <v>0</v>
      </c>
    </row>
    <row r="35" spans="1:15" ht="12.75" customHeight="1">
      <c r="A35" s="190"/>
      <c r="B35" s="204"/>
      <c r="C35" s="205"/>
      <c r="D35" s="206"/>
      <c r="E35" s="206"/>
      <c r="F35" s="207"/>
      <c r="G35" s="206"/>
      <c r="H35" s="206"/>
      <c r="I35" s="194"/>
      <c r="L35" s="195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5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95">
        <f>IF($B35=75022,G35,0)+IF($B35=75023,G35,0)</f>
        <v>0</v>
      </c>
      <c r="O35" s="195">
        <f>IF($B35=75022,H35,0)+IF($B35=75023,H35,0)</f>
        <v>0</v>
      </c>
    </row>
    <row r="36" spans="1:8" ht="15">
      <c r="A36" s="208" t="s">
        <v>275</v>
      </c>
      <c r="B36" s="209"/>
      <c r="C36" s="209"/>
      <c r="D36" s="210">
        <f>SUM(D4:D35)</f>
        <v>143250</v>
      </c>
      <c r="E36" s="210">
        <f>SUM(E4:E35)</f>
        <v>2107412.52</v>
      </c>
      <c r="F36" s="211"/>
      <c r="G36" s="210">
        <f>SUM(G4:G35)</f>
        <v>16956</v>
      </c>
      <c r="H36" s="210">
        <f>SUM(H4:H35)</f>
        <v>1981118.52</v>
      </c>
    </row>
    <row r="37" spans="1:8" ht="15" customHeight="1">
      <c r="A37" s="212" t="s">
        <v>276</v>
      </c>
      <c r="B37" s="212" t="s">
        <v>277</v>
      </c>
      <c r="C37" s="213"/>
      <c r="D37" s="214">
        <f>SUM(E36-D36)</f>
        <v>1964162.52</v>
      </c>
      <c r="E37" s="214"/>
      <c r="F37" s="213"/>
      <c r="G37" s="214">
        <f>SUM(H36-G36)</f>
        <v>1964162.52</v>
      </c>
      <c r="H37" s="214"/>
    </row>
    <row r="38" spans="1:8" ht="15">
      <c r="A38" s="212"/>
      <c r="B38" s="212"/>
      <c r="C38" s="213"/>
      <c r="D38" s="214"/>
      <c r="E38" s="214"/>
      <c r="F38" s="213"/>
      <c r="G38" s="214"/>
      <c r="H38" s="214"/>
    </row>
    <row r="39" spans="1:4" ht="15">
      <c r="A39" s="215" t="s">
        <v>278</v>
      </c>
      <c r="B39" s="215"/>
      <c r="C39" s="215"/>
      <c r="D39" s="216">
        <f>SUM(G37-D37)</f>
        <v>0</v>
      </c>
    </row>
    <row r="40" spans="2:15" ht="15" customHeight="1">
      <c r="B40" s="217" t="s">
        <v>279</v>
      </c>
      <c r="C40" s="217"/>
      <c r="D40" s="217"/>
      <c r="E40" s="218" t="s">
        <v>280</v>
      </c>
      <c r="F40" s="218"/>
      <c r="G40" s="219">
        <f>L40</f>
        <v>0</v>
      </c>
      <c r="H40" s="220">
        <f>M40</f>
        <v>756</v>
      </c>
      <c r="L40" s="221">
        <f>SUM(L4:L35)</f>
        <v>0</v>
      </c>
      <c r="M40" s="221">
        <f>SUM(M4:M35)</f>
        <v>756</v>
      </c>
      <c r="N40" s="221">
        <f>SUM(N4:N35)</f>
        <v>0</v>
      </c>
      <c r="O40" s="221">
        <f>SUM(O4:O35)</f>
        <v>0</v>
      </c>
    </row>
    <row r="41" spans="2:8" ht="15" customHeight="1">
      <c r="B41" s="193" t="s">
        <v>281</v>
      </c>
      <c r="C41" s="193"/>
      <c r="D41" s="222" t="str">
        <f>C50</f>
        <v>√</v>
      </c>
      <c r="E41" s="223" t="s">
        <v>282</v>
      </c>
      <c r="F41" s="223"/>
      <c r="G41" s="224">
        <f>SUM(H40-G40)</f>
        <v>756</v>
      </c>
      <c r="H41" s="224"/>
    </row>
    <row r="42" spans="2:6" ht="12.75" customHeight="1">
      <c r="B42" s="193" t="s">
        <v>283</v>
      </c>
      <c r="C42" s="193"/>
      <c r="D42" s="225" t="str">
        <f>C50</f>
        <v>√</v>
      </c>
      <c r="E42" s="226" t="s">
        <v>284</v>
      </c>
      <c r="F42" s="226"/>
    </row>
    <row r="43" spans="2:8" ht="14.25" customHeight="1">
      <c r="B43" s="227" t="s">
        <v>285</v>
      </c>
      <c r="C43" s="227"/>
      <c r="D43" s="228" t="str">
        <f>C50</f>
        <v>√</v>
      </c>
      <c r="E43" s="218" t="s">
        <v>286</v>
      </c>
      <c r="F43" s="218"/>
      <c r="G43" s="219">
        <f>N40</f>
        <v>0</v>
      </c>
      <c r="H43" s="219">
        <f>O40</f>
        <v>0</v>
      </c>
    </row>
    <row r="44" spans="2:8" ht="12.75" customHeight="1">
      <c r="B44" s="227" t="s">
        <v>287</v>
      </c>
      <c r="C44" s="227"/>
      <c r="D44" s="228" t="str">
        <f>C50</f>
        <v>√</v>
      </c>
      <c r="E44" s="223" t="s">
        <v>282</v>
      </c>
      <c r="F44" s="223"/>
      <c r="G44" s="224">
        <f>SUM(H43-G43)</f>
        <v>0</v>
      </c>
      <c r="H44" s="224"/>
    </row>
    <row r="45" spans="2:8" ht="14.25" customHeight="1">
      <c r="B45" s="227" t="s">
        <v>288</v>
      </c>
      <c r="C45" s="227"/>
      <c r="D45" s="228"/>
      <c r="E45" s="229" t="s">
        <v>289</v>
      </c>
      <c r="F45" s="229"/>
      <c r="G45" s="138"/>
      <c r="H45" s="138"/>
    </row>
    <row r="46" spans="2:8" ht="14.25" customHeight="1">
      <c r="B46" s="227" t="s">
        <v>290</v>
      </c>
      <c r="C46" s="227"/>
      <c r="D46" s="228"/>
      <c r="E46" s="229"/>
      <c r="F46" s="229"/>
      <c r="G46" s="138"/>
      <c r="H46" s="138"/>
    </row>
    <row r="47" spans="2:8" ht="13.5" customHeight="1">
      <c r="B47" s="227" t="s">
        <v>291</v>
      </c>
      <c r="C47" s="227"/>
      <c r="D47" s="228"/>
      <c r="E47" s="229"/>
      <c r="F47" s="229"/>
      <c r="G47" s="138"/>
      <c r="H47" s="138"/>
    </row>
    <row r="48" spans="2:8" ht="13.5" customHeight="1">
      <c r="B48" s="227" t="s">
        <v>292</v>
      </c>
      <c r="C48" s="227"/>
      <c r="D48" s="228" t="str">
        <f>C50</f>
        <v>√</v>
      </c>
      <c r="E48" s="229"/>
      <c r="F48" s="229"/>
      <c r="G48" s="138"/>
      <c r="H48" s="138"/>
    </row>
    <row r="49" spans="2:5" ht="12.75" customHeight="1">
      <c r="B49" s="227"/>
      <c r="C49" s="227"/>
      <c r="D49" s="227"/>
      <c r="E49" t="s">
        <v>293</v>
      </c>
    </row>
    <row r="50" spans="3:8" ht="12.75" customHeight="1">
      <c r="C50" s="230" t="s">
        <v>294</v>
      </c>
      <c r="D50" s="231" t="s">
        <v>295</v>
      </c>
      <c r="E50" s="231"/>
      <c r="G50" s="231" t="s">
        <v>296</v>
      </c>
      <c r="H50" s="231"/>
    </row>
    <row r="51" spans="4:8" ht="12.75">
      <c r="D51" s="232">
        <v>0</v>
      </c>
      <c r="E51" s="232">
        <v>0</v>
      </c>
      <c r="G51" s="232">
        <v>0</v>
      </c>
      <c r="H51" s="232">
        <f>SUM(H6:H14)</f>
        <v>1964162.52</v>
      </c>
    </row>
    <row r="52" spans="1:8" ht="24.75" customHeight="1">
      <c r="A52" s="233" t="s">
        <v>297</v>
      </c>
      <c r="B52" s="233"/>
      <c r="C52" s="233"/>
      <c r="D52" s="234">
        <f>SUM(E51-D51)</f>
        <v>0</v>
      </c>
      <c r="E52" s="234"/>
      <c r="F52" s="235"/>
      <c r="G52" s="234">
        <f>SUM(H51-G51)</f>
        <v>1964162.52</v>
      </c>
      <c r="H52" s="234"/>
    </row>
    <row r="54" spans="4:8" ht="12.75" customHeight="1">
      <c r="D54" s="231" t="s">
        <v>298</v>
      </c>
      <c r="E54" s="231"/>
      <c r="G54" s="231" t="s">
        <v>299</v>
      </c>
      <c r="H54" s="231"/>
    </row>
    <row r="55" spans="4:8" ht="12.75">
      <c r="D55" s="236">
        <f>SUM(D36-D51)</f>
        <v>143250</v>
      </c>
      <c r="E55" s="236">
        <f>SUM(E36-E51)</f>
        <v>2107412.52</v>
      </c>
      <c r="G55" s="236">
        <f>SUM(G36-G51)</f>
        <v>16956</v>
      </c>
      <c r="H55" s="236">
        <f>SUM(H36-H51)</f>
        <v>16956</v>
      </c>
    </row>
    <row r="56" spans="1:8" ht="24.75" customHeight="1">
      <c r="A56" s="233" t="s">
        <v>297</v>
      </c>
      <c r="B56" s="233"/>
      <c r="C56" s="233"/>
      <c r="D56" s="234">
        <f>SUM(E55-D55)</f>
        <v>1964162.52</v>
      </c>
      <c r="E56" s="234"/>
      <c r="F56" s="235"/>
      <c r="G56" s="234">
        <f>SUM(H55-G55)</f>
        <v>0</v>
      </c>
      <c r="H56" s="234"/>
    </row>
    <row r="58" spans="2:8" ht="12.75" customHeight="1">
      <c r="B58" s="237" t="s">
        <v>300</v>
      </c>
      <c r="C58" s="237"/>
      <c r="D58" s="238">
        <f>SUM(D52+D56)</f>
        <v>1964162.52</v>
      </c>
      <c r="E58" s="238"/>
      <c r="F58" s="138"/>
      <c r="G58" s="238">
        <f>SUM(G52+G56)</f>
        <v>1964162.52</v>
      </c>
      <c r="H58" s="238"/>
    </row>
    <row r="59" ht="12.75">
      <c r="F59" s="195"/>
    </row>
    <row r="60" spans="1:8" ht="24.75" customHeight="1">
      <c r="A60" s="239" t="s">
        <v>301</v>
      </c>
      <c r="B60" s="239"/>
      <c r="C60" s="239"/>
      <c r="D60" s="240">
        <f>ABS(D52+D56)</f>
        <v>1964162.52</v>
      </c>
      <c r="E60" s="240"/>
      <c r="F60" s="138"/>
      <c r="G60" s="240">
        <f>ABS(G52+G56)</f>
        <v>1964162.52</v>
      </c>
      <c r="H60" s="240"/>
    </row>
    <row r="68" ht="12.75">
      <c r="B68" s="241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37:E37"/>
    <mergeCell ref="G37:H37"/>
    <mergeCell ref="A39:C39"/>
    <mergeCell ref="B40:D40"/>
    <mergeCell ref="E40:F40"/>
    <mergeCell ref="B41:C41"/>
    <mergeCell ref="E41:F41"/>
    <mergeCell ref="G41:H41"/>
    <mergeCell ref="B42:C42"/>
    <mergeCell ref="E42:F42"/>
    <mergeCell ref="B43:C43"/>
    <mergeCell ref="E43:F43"/>
    <mergeCell ref="B44:C44"/>
    <mergeCell ref="E44:F44"/>
    <mergeCell ref="G44:H44"/>
    <mergeCell ref="B45:C45"/>
    <mergeCell ref="E45:F45"/>
    <mergeCell ref="B46:C46"/>
    <mergeCell ref="B47:C47"/>
    <mergeCell ref="B48:C48"/>
    <mergeCell ref="B49:D49"/>
    <mergeCell ref="D50:E50"/>
    <mergeCell ref="G50:H50"/>
    <mergeCell ref="A52:C52"/>
    <mergeCell ref="D52:E52"/>
    <mergeCell ref="G52:H52"/>
    <mergeCell ref="D54:E54"/>
    <mergeCell ref="G54:H54"/>
    <mergeCell ref="A56:C56"/>
    <mergeCell ref="D56:E56"/>
    <mergeCell ref="G56:H56"/>
    <mergeCell ref="B58:C58"/>
    <mergeCell ref="D58:E58"/>
    <mergeCell ref="G58:H58"/>
    <mergeCell ref="A60:C60"/>
    <mergeCell ref="D60:E60"/>
    <mergeCell ref="G60:H60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3"/>
      <c r="W1" s="243" t="s">
        <v>302</v>
      </c>
      <c r="X1" s="243"/>
    </row>
    <row r="2" spans="1:24" ht="27.75" customHeight="1">
      <c r="A2" s="242" t="s">
        <v>303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3"/>
      <c r="W2" s="243"/>
      <c r="X2" s="243"/>
    </row>
    <row r="3" spans="1:24" ht="12.75">
      <c r="A3" s="244"/>
      <c r="B3" s="245"/>
      <c r="C3" s="245"/>
      <c r="D3" s="245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 t="s">
        <v>304</v>
      </c>
    </row>
    <row r="4" spans="1:24" ht="15.75" customHeight="1">
      <c r="A4" s="247" t="s">
        <v>305</v>
      </c>
      <c r="B4" s="248" t="s">
        <v>306</v>
      </c>
      <c r="C4" s="249" t="s">
        <v>307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5.75" customHeight="1">
      <c r="A5" s="247"/>
      <c r="B5" s="248"/>
      <c r="C5" s="248"/>
      <c r="D5" s="248">
        <v>2012</v>
      </c>
      <c r="E5" s="248">
        <v>2013</v>
      </c>
      <c r="F5" s="248">
        <v>2014</v>
      </c>
      <c r="G5" s="248">
        <v>2015</v>
      </c>
      <c r="H5" s="248">
        <v>2016</v>
      </c>
      <c r="I5" s="248">
        <v>2017</v>
      </c>
      <c r="J5" s="248">
        <v>2018</v>
      </c>
      <c r="K5" s="248">
        <v>2019</v>
      </c>
      <c r="L5" s="248">
        <v>2020</v>
      </c>
      <c r="M5" s="248">
        <v>2021</v>
      </c>
      <c r="N5" s="248">
        <v>2022</v>
      </c>
      <c r="O5" s="248">
        <v>2023</v>
      </c>
      <c r="P5" s="248">
        <v>2024</v>
      </c>
      <c r="Q5" s="248">
        <v>2025</v>
      </c>
      <c r="R5" s="248">
        <v>2026</v>
      </c>
      <c r="S5" s="248">
        <v>2027</v>
      </c>
      <c r="T5" s="248">
        <v>2028</v>
      </c>
      <c r="U5" s="248">
        <v>2029</v>
      </c>
      <c r="V5" s="248">
        <v>2030</v>
      </c>
      <c r="W5" s="248">
        <v>2031</v>
      </c>
      <c r="X5" s="248">
        <v>2032</v>
      </c>
    </row>
    <row r="6" spans="1:24" ht="15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</row>
    <row r="7" spans="1:24" ht="15.75" customHeight="1">
      <c r="A7" s="247"/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</row>
    <row r="8" spans="1:24" ht="15.75" customHeight="1">
      <c r="A8" s="247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1:24" ht="7.5" customHeight="1">
      <c r="A9" s="250">
        <v>1</v>
      </c>
      <c r="B9" s="250">
        <v>2</v>
      </c>
      <c r="C9" s="250">
        <v>3</v>
      </c>
      <c r="D9" s="250">
        <v>5</v>
      </c>
      <c r="E9" s="250">
        <v>6</v>
      </c>
      <c r="F9" s="250">
        <v>6</v>
      </c>
      <c r="G9" s="250">
        <v>6</v>
      </c>
      <c r="H9" s="250">
        <v>6</v>
      </c>
      <c r="I9" s="250">
        <v>6</v>
      </c>
      <c r="J9" s="250">
        <v>6</v>
      </c>
      <c r="K9" s="250">
        <v>6</v>
      </c>
      <c r="L9" s="250">
        <v>6</v>
      </c>
      <c r="M9" s="250">
        <v>6</v>
      </c>
      <c r="N9" s="250">
        <v>6</v>
      </c>
      <c r="O9" s="250">
        <v>6</v>
      </c>
      <c r="P9" s="250">
        <v>6</v>
      </c>
      <c r="Q9" s="250">
        <v>6</v>
      </c>
      <c r="R9" s="250">
        <v>6</v>
      </c>
      <c r="S9" s="250">
        <v>6</v>
      </c>
      <c r="T9" s="250">
        <v>6</v>
      </c>
      <c r="U9" s="250">
        <v>6</v>
      </c>
      <c r="V9" s="250">
        <v>6</v>
      </c>
      <c r="W9" s="250">
        <v>6</v>
      </c>
      <c r="X9" s="250">
        <v>6</v>
      </c>
    </row>
    <row r="10" spans="1:24" ht="19.5" customHeight="1">
      <c r="A10" s="251" t="s">
        <v>308</v>
      </c>
      <c r="B10" s="252" t="s">
        <v>309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53">
        <v>0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3">
        <v>0</v>
      </c>
    </row>
    <row r="11" spans="1:24" ht="19.5" customHeight="1">
      <c r="A11" s="251" t="s">
        <v>310</v>
      </c>
      <c r="B11" s="254" t="s">
        <v>311</v>
      </c>
      <c r="C11" s="255">
        <f>zał2!E46</f>
        <v>40534439.7</v>
      </c>
      <c r="D11" s="255">
        <f>zał2!F46</f>
        <v>41627126.7</v>
      </c>
      <c r="E11" s="255">
        <f>zał2!G46</f>
        <v>35772301.2655</v>
      </c>
      <c r="F11" s="255">
        <f>zał2!H46</f>
        <v>29917475.031000003</v>
      </c>
      <c r="G11" s="255">
        <f>zał2!I46</f>
        <v>26464512.796500005</v>
      </c>
      <c r="H11" s="255">
        <f>zał2!J46</f>
        <v>23011550.562000006</v>
      </c>
      <c r="I11" s="255">
        <f>zał2!K46</f>
        <v>19558588.327500008</v>
      </c>
      <c r="J11" s="255">
        <f>zał2!L46</f>
        <v>16105626.093000008</v>
      </c>
      <c r="K11" s="255">
        <f>zał2!M46</f>
        <v>12652654.858500008</v>
      </c>
      <c r="L11" s="255">
        <f>zał2!N46</f>
        <v>10214636.734000009</v>
      </c>
      <c r="M11" s="255">
        <f>zał2!O46</f>
        <v>9324097.339500008</v>
      </c>
      <c r="N11" s="255">
        <f>zał2!P46</f>
        <v>8433557.945000008</v>
      </c>
      <c r="O11" s="255">
        <f>zał2!Q46</f>
        <v>7543018.550500007</v>
      </c>
      <c r="P11" s="255">
        <f>zał2!R46</f>
        <v>6652479.156000007</v>
      </c>
      <c r="Q11" s="255">
        <f>zał2!S46</f>
        <v>5761939.761500007</v>
      </c>
      <c r="R11" s="255">
        <f>zał2!T46</f>
        <v>4871400.367000006</v>
      </c>
      <c r="S11" s="255">
        <f>zał2!U46</f>
        <v>3980860.972500006</v>
      </c>
      <c r="T11" s="255">
        <f>zał2!V46</f>
        <v>3090321.5780000063</v>
      </c>
      <c r="U11" s="255">
        <f>zał2!W46</f>
        <v>2199782.1835000063</v>
      </c>
      <c r="V11" s="255">
        <f>zał2!X46</f>
        <v>1309242.7890000064</v>
      </c>
      <c r="W11" s="255">
        <f>zał2!Y46</f>
        <v>418691.39450000634</v>
      </c>
      <c r="X11" s="255">
        <f>zał2!Z46</f>
        <v>0</v>
      </c>
    </row>
    <row r="12" spans="1:24" ht="19.5" customHeight="1">
      <c r="A12" s="251" t="s">
        <v>312</v>
      </c>
      <c r="B12" s="254" t="s">
        <v>313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3">
        <v>0</v>
      </c>
    </row>
    <row r="13" spans="1:24" ht="19.5" customHeight="1">
      <c r="A13" s="251" t="s">
        <v>314</v>
      </c>
      <c r="B13" s="254" t="s">
        <v>315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3">
        <v>0</v>
      </c>
    </row>
    <row r="14" spans="1:24" ht="19.5" customHeight="1">
      <c r="A14" s="251" t="s">
        <v>316</v>
      </c>
      <c r="B14" s="254" t="s">
        <v>317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3">
        <v>0</v>
      </c>
    </row>
    <row r="15" spans="1:24" ht="19.5" customHeight="1">
      <c r="A15" s="251" t="s">
        <v>318</v>
      </c>
      <c r="B15" s="254" t="s">
        <v>319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3">
        <v>0</v>
      </c>
    </row>
    <row r="16" spans="1:24" ht="19.5" customHeight="1">
      <c r="A16" s="251" t="s">
        <v>320</v>
      </c>
      <c r="B16" s="254" t="s">
        <v>321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3">
        <v>0</v>
      </c>
    </row>
    <row r="17" spans="1:24" ht="19.5" customHeight="1">
      <c r="A17" s="251" t="s">
        <v>322</v>
      </c>
      <c r="B17" s="256" t="s">
        <v>323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3">
        <v>0</v>
      </c>
    </row>
    <row r="18" spans="1:24" ht="19.5" customHeight="1">
      <c r="A18" s="251" t="s">
        <v>324</v>
      </c>
      <c r="B18" s="256" t="s">
        <v>325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3">
        <v>0</v>
      </c>
    </row>
    <row r="19" spans="1:24" ht="19.5" customHeight="1">
      <c r="A19" s="251" t="s">
        <v>326</v>
      </c>
      <c r="B19" s="256" t="s">
        <v>327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</row>
    <row r="20" spans="1:24" ht="19.5" customHeight="1">
      <c r="A20" s="251" t="s">
        <v>328</v>
      </c>
      <c r="B20" s="256" t="s">
        <v>329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3">
        <v>0</v>
      </c>
    </row>
    <row r="21" spans="1:24" ht="19.5" customHeight="1">
      <c r="A21" s="251" t="s">
        <v>330</v>
      </c>
      <c r="B21" s="254" t="s">
        <v>331</v>
      </c>
      <c r="C21" s="255">
        <f>zał2!E8</f>
        <v>72674133.27</v>
      </c>
      <c r="D21" s="255">
        <f>zał2!F8</f>
        <v>89868856.13</v>
      </c>
      <c r="E21" s="255">
        <f>zał2!G8</f>
        <v>70053827.02903</v>
      </c>
      <c r="F21" s="255">
        <f>zał2!H8</f>
        <v>67473134.46292993</v>
      </c>
      <c r="G21" s="255">
        <f>zał2!I8</f>
        <v>69561160.94728076</v>
      </c>
      <c r="H21" s="255">
        <f>zał2!J8</f>
        <v>71713807.03212646</v>
      </c>
      <c r="I21" s="255">
        <f>zał2!K8</f>
        <v>73933072.64846678</v>
      </c>
      <c r="J21" s="255">
        <f>zał2!L8</f>
        <v>76221019.62686399</v>
      </c>
      <c r="K21" s="255">
        <f>zał2!M8</f>
        <v>78579773.61338034</v>
      </c>
      <c r="L21" s="255">
        <f>zał2!N8</f>
        <v>81011526.04482122</v>
      </c>
      <c r="M21" s="255">
        <f>zał2!O8</f>
        <v>83518536.18511955</v>
      </c>
      <c r="N21" s="255">
        <f>zał2!P8</f>
        <v>86103133.22475438</v>
      </c>
      <c r="O21" s="255">
        <f>zał2!Q8</f>
        <v>88767718.44515477</v>
      </c>
      <c r="P21" s="255">
        <f>zał2!R8</f>
        <v>91514767.45010057</v>
      </c>
      <c r="Q21" s="255">
        <f>zał2!S8</f>
        <v>94346832.46619408</v>
      </c>
      <c r="R21" s="255">
        <f>zał2!T8</f>
        <v>97266544.71454069</v>
      </c>
      <c r="S21" s="255">
        <f>zał2!U8</f>
        <v>100276616.85584289</v>
      </c>
      <c r="T21" s="255">
        <f>zał2!V8</f>
        <v>103379845.51118</v>
      </c>
      <c r="U21" s="255">
        <f>zał2!W8</f>
        <v>106579113.86081672</v>
      </c>
      <c r="V21" s="255">
        <f>zał2!X8</f>
        <v>109877394.3234559</v>
      </c>
      <c r="W21" s="255">
        <f>zał2!Y8</f>
        <v>113277751.31842552</v>
      </c>
      <c r="X21" s="255">
        <f>zał2!Z8</f>
        <v>116783344.11336747</v>
      </c>
    </row>
    <row r="22" spans="1:24" ht="19.5" customHeight="1">
      <c r="A22" s="251" t="s">
        <v>332</v>
      </c>
      <c r="B22" s="252" t="s">
        <v>333</v>
      </c>
      <c r="C22" s="255">
        <f>SUM(C10:C14)</f>
        <v>40534439.7</v>
      </c>
      <c r="D22" s="255">
        <f>SUM(D10:D14)</f>
        <v>41627126.7</v>
      </c>
      <c r="E22" s="255">
        <f>SUM(E10:E14)</f>
        <v>35772301.2655</v>
      </c>
      <c r="F22" s="255">
        <f>SUM(F10:F14)</f>
        <v>29917475.031000003</v>
      </c>
      <c r="G22" s="255">
        <f>SUM(G10:G14)</f>
        <v>26464512.796500005</v>
      </c>
      <c r="H22" s="255">
        <f>SUM(H10:H14)</f>
        <v>23011550.562000006</v>
      </c>
      <c r="I22" s="255">
        <f>SUM(I10:I14)</f>
        <v>19558588.327500008</v>
      </c>
      <c r="J22" s="255">
        <f>SUM(J10:J14)</f>
        <v>16105626.093000008</v>
      </c>
      <c r="K22" s="255">
        <f>SUM(K10:K14)</f>
        <v>12652654.858500008</v>
      </c>
      <c r="L22" s="255">
        <f>SUM(L10:L14)</f>
        <v>10214636.734000009</v>
      </c>
      <c r="M22" s="255">
        <f>SUM(M10:M14)</f>
        <v>9324097.339500008</v>
      </c>
      <c r="N22" s="255">
        <f>SUM(N10:N14)</f>
        <v>8433557.945000008</v>
      </c>
      <c r="O22" s="255">
        <f>SUM(O10:O14)</f>
        <v>7543018.550500007</v>
      </c>
      <c r="P22" s="255">
        <f>SUM(P10:P14)</f>
        <v>6652479.156000007</v>
      </c>
      <c r="Q22" s="255">
        <f>SUM(Q10:Q14)</f>
        <v>5761939.761500007</v>
      </c>
      <c r="R22" s="255">
        <f>SUM(R10:R14)</f>
        <v>4871400.367000006</v>
      </c>
      <c r="S22" s="255">
        <f>SUM(S10:S14)</f>
        <v>3980860.972500006</v>
      </c>
      <c r="T22" s="255">
        <f>SUM(T10:T14)</f>
        <v>3090321.5780000063</v>
      </c>
      <c r="U22" s="255">
        <f>SUM(U10:U14)</f>
        <v>2199782.1835000063</v>
      </c>
      <c r="V22" s="255">
        <f>SUM(V10:V14)</f>
        <v>1309242.7890000064</v>
      </c>
      <c r="W22" s="255">
        <f>SUM(W10:W14)</f>
        <v>418691.39450000634</v>
      </c>
      <c r="X22" s="255">
        <f>SUM(X10:X14)</f>
        <v>0</v>
      </c>
    </row>
    <row r="23" spans="1:24" ht="19.5" customHeight="1">
      <c r="A23" s="251" t="s">
        <v>334</v>
      </c>
      <c r="B23" s="254" t="s">
        <v>335</v>
      </c>
      <c r="C23" s="257">
        <f>SUM(C22/C21)</f>
        <v>0.5577560801365992</v>
      </c>
      <c r="D23" s="257">
        <f>SUM(D22/D21)</f>
        <v>0.4631985817176107</v>
      </c>
      <c r="E23" s="257">
        <f>SUM(E22/E21)</f>
        <v>0.5106402145692357</v>
      </c>
      <c r="F23" s="257">
        <f>SUM(F22/F21)</f>
        <v>0.4433983283737442</v>
      </c>
      <c r="G23" s="257">
        <f>SUM(G22/G21)</f>
        <v>0.3804495559893978</v>
      </c>
      <c r="H23" s="257">
        <f>SUM(H22/H21)</f>
        <v>0.3208803369160315</v>
      </c>
      <c r="I23" s="257">
        <f>SUM(I22/I21)</f>
        <v>0.2645445079835406</v>
      </c>
      <c r="J23" s="257">
        <f>SUM(J22/J21)</f>
        <v>0.21130163532112609</v>
      </c>
      <c r="K23" s="257">
        <f>SUM(K22/K21)</f>
        <v>0.16101668758620027</v>
      </c>
      <c r="L23" s="257">
        <f>SUM(L22/L21)</f>
        <v>0.1260886843231241</v>
      </c>
      <c r="M23" s="257">
        <f>SUM(M22/M21)</f>
        <v>0.11164105317690275</v>
      </c>
      <c r="N23" s="257">
        <f>SUM(N22/N21)</f>
        <v>0.09794716671907808</v>
      </c>
      <c r="O23" s="257">
        <f>SUM(O22/O21)</f>
        <v>0.084974793569359</v>
      </c>
      <c r="P23" s="257">
        <f>SUM(P22/P21)</f>
        <v>0.07269295810238871</v>
      </c>
      <c r="Q23" s="257">
        <f>SUM(Q22/Q21)</f>
        <v>0.06107189410481373</v>
      </c>
      <c r="R23" s="257">
        <f>SUM(R22/R21)</f>
        <v>0.0500830000828822</v>
      </c>
      <c r="S23" s="257">
        <f>SUM(S22/S21)</f>
        <v>0.039698796163245814</v>
      </c>
      <c r="T23" s="257">
        <f>SUM(T22/T21)</f>
        <v>0.029892882531593685</v>
      </c>
      <c r="U23" s="257">
        <f>SUM(U22/U21)</f>
        <v>0.02063989935563487</v>
      </c>
      <c r="V23" s="257">
        <f>SUM(V22/V21)</f>
        <v>0.011915488140771445</v>
      </c>
      <c r="W23" s="257">
        <f>SUM(W22/W21)</f>
        <v>0.0036961485342612275</v>
      </c>
      <c r="X23" s="257">
        <f>SUM(X22/X21)</f>
        <v>0</v>
      </c>
    </row>
    <row r="24" spans="1:24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 ht="12.7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 ht="12.75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2.7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</row>
    <row r="28" spans="1:24" ht="12.7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</row>
    <row r="29" spans="1:24" ht="12.75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</row>
    <row r="30" spans="1:24" ht="12.75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</row>
    <row r="36" spans="2:34" ht="12.7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</row>
    <row r="37" spans="2:34" ht="12.75"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</row>
    <row r="38" spans="2:34" ht="12.75"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</row>
    <row r="39" spans="2:34" ht="12.75"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</row>
    <row r="40" spans="2:34" ht="12.75">
      <c r="B40" s="163"/>
      <c r="C40" s="259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</row>
    <row r="41" spans="2:34" ht="12.75">
      <c r="B41" s="163"/>
      <c r="C41" s="259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</row>
    <row r="42" spans="2:34" ht="12.7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58" customWidth="1"/>
    <col min="2" max="2" width="23.7109375" style="258" customWidth="1"/>
    <col min="3" max="3" width="12.140625" style="258" customWidth="1"/>
    <col min="4" max="5" width="12.7109375" style="258" customWidth="1"/>
    <col min="6" max="24" width="12.57421875" style="258" customWidth="1"/>
    <col min="25" max="254" width="11.57421875" style="258" customWidth="1"/>
    <col min="255" max="16384" width="11.57421875" style="0" customWidth="1"/>
  </cols>
  <sheetData>
    <row r="1" spans="1:24" ht="48" customHeight="1">
      <c r="A1" s="260"/>
      <c r="B1" s="260"/>
      <c r="C1" s="260"/>
      <c r="D1" s="260"/>
      <c r="E1" s="260"/>
      <c r="F1" s="260"/>
      <c r="G1" s="261"/>
      <c r="H1" s="261"/>
      <c r="I1" s="261"/>
      <c r="J1" s="261"/>
      <c r="K1"/>
      <c r="L1"/>
      <c r="M1" s="261"/>
      <c r="V1" s="262" t="s">
        <v>336</v>
      </c>
      <c r="W1" s="262"/>
      <c r="X1" s="262"/>
    </row>
    <row r="2" spans="1:24" ht="16.5" customHeight="1">
      <c r="A2" s="263"/>
      <c r="B2" s="263"/>
      <c r="C2" s="263"/>
      <c r="D2" s="263"/>
      <c r="E2" s="263"/>
      <c r="F2" s="264"/>
      <c r="G2" s="263"/>
      <c r="H2" s="263"/>
      <c r="I2" s="263"/>
      <c r="J2" s="263"/>
      <c r="K2" s="263"/>
      <c r="L2" s="263"/>
      <c r="M2"/>
      <c r="X2" s="265" t="s">
        <v>304</v>
      </c>
    </row>
    <row r="3" spans="1:24" ht="18.75" customHeight="1">
      <c r="A3" s="266" t="s">
        <v>305</v>
      </c>
      <c r="B3" s="266" t="s">
        <v>3</v>
      </c>
      <c r="C3" s="267" t="s">
        <v>307</v>
      </c>
      <c r="D3" s="266" t="s">
        <v>337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53.25" customHeight="1">
      <c r="A4" s="266"/>
      <c r="B4" s="266"/>
      <c r="C4" s="267"/>
      <c r="D4" s="266">
        <v>2012</v>
      </c>
      <c r="E4" s="266">
        <v>2013</v>
      </c>
      <c r="F4" s="266">
        <v>2014</v>
      </c>
      <c r="G4" s="266">
        <v>2015</v>
      </c>
      <c r="H4" s="266">
        <v>2016</v>
      </c>
      <c r="I4" s="266">
        <v>2017</v>
      </c>
      <c r="J4" s="266">
        <v>2018</v>
      </c>
      <c r="K4" s="266">
        <v>2019</v>
      </c>
      <c r="L4" s="266">
        <v>2020</v>
      </c>
      <c r="M4" s="266">
        <v>2021</v>
      </c>
      <c r="N4" s="266">
        <v>2022</v>
      </c>
      <c r="O4" s="266">
        <v>2023</v>
      </c>
      <c r="P4" s="266">
        <v>2024</v>
      </c>
      <c r="Q4" s="266">
        <v>2025</v>
      </c>
      <c r="R4" s="266">
        <v>2026</v>
      </c>
      <c r="S4" s="266">
        <v>2027</v>
      </c>
      <c r="T4" s="266">
        <v>2028</v>
      </c>
      <c r="U4" s="266">
        <v>2029</v>
      </c>
      <c r="V4" s="266">
        <v>2030</v>
      </c>
      <c r="W4" s="266">
        <v>2031</v>
      </c>
      <c r="X4" s="266">
        <v>2032</v>
      </c>
    </row>
    <row r="5" spans="1:24" ht="12.75">
      <c r="A5" s="250">
        <v>1</v>
      </c>
      <c r="B5" s="250">
        <v>2</v>
      </c>
      <c r="C5" s="250">
        <v>3</v>
      </c>
      <c r="D5" s="250">
        <v>5</v>
      </c>
      <c r="E5" s="250">
        <v>6</v>
      </c>
      <c r="F5" s="250">
        <v>7</v>
      </c>
      <c r="G5" s="250">
        <v>8</v>
      </c>
      <c r="H5" s="250">
        <v>9</v>
      </c>
      <c r="I5" s="250">
        <v>10</v>
      </c>
      <c r="J5" s="250">
        <v>11</v>
      </c>
      <c r="K5" s="250">
        <v>12</v>
      </c>
      <c r="L5" s="250">
        <v>13</v>
      </c>
      <c r="M5" s="250">
        <v>14</v>
      </c>
      <c r="N5" s="250">
        <v>15</v>
      </c>
      <c r="O5" s="250">
        <v>16</v>
      </c>
      <c r="P5" s="250">
        <v>17</v>
      </c>
      <c r="Q5" s="250">
        <v>18</v>
      </c>
      <c r="R5" s="250">
        <v>19</v>
      </c>
      <c r="S5" s="250">
        <v>20</v>
      </c>
      <c r="T5" s="250">
        <v>21</v>
      </c>
      <c r="U5" s="250">
        <v>22</v>
      </c>
      <c r="V5" s="250">
        <v>23</v>
      </c>
      <c r="W5" s="250">
        <v>24</v>
      </c>
      <c r="X5" s="250">
        <v>25</v>
      </c>
    </row>
    <row r="6" spans="1:24" ht="12.75">
      <c r="A6" s="268" t="s">
        <v>338</v>
      </c>
      <c r="B6" s="269" t="s">
        <v>339</v>
      </c>
      <c r="C6" s="270">
        <f>SUM(C7,C11,C12)</f>
        <v>72674133.27</v>
      </c>
      <c r="D6" s="271">
        <f>zał2!F8</f>
        <v>89868856.13</v>
      </c>
      <c r="E6" s="271">
        <f>zał2!G8</f>
        <v>70053827.02903</v>
      </c>
      <c r="F6" s="271">
        <f>zał2!H8</f>
        <v>67473134.46292993</v>
      </c>
      <c r="G6" s="271">
        <f>zał2!I8</f>
        <v>69561160.94728076</v>
      </c>
      <c r="H6" s="271">
        <f>zał2!J8</f>
        <v>71713807.03212646</v>
      </c>
      <c r="I6" s="271">
        <f>zał2!K8</f>
        <v>73933072.64846678</v>
      </c>
      <c r="J6" s="271">
        <f>zał2!L8</f>
        <v>76221019.62686399</v>
      </c>
      <c r="K6" s="271">
        <f>zał2!M8</f>
        <v>78579773.61338034</v>
      </c>
      <c r="L6" s="271">
        <f>zał2!N8</f>
        <v>81011526.04482122</v>
      </c>
      <c r="M6" s="271">
        <f>zał2!O8</f>
        <v>83518536.18511955</v>
      </c>
      <c r="N6" s="271">
        <f>zał2!P8</f>
        <v>86103133.22475438</v>
      </c>
      <c r="O6" s="271">
        <f>zał2!Q8</f>
        <v>88767718.44515477</v>
      </c>
      <c r="P6" s="271">
        <f>zał2!R8</f>
        <v>91514767.45010057</v>
      </c>
      <c r="Q6" s="271">
        <f>zał2!S8</f>
        <v>94346832.46619408</v>
      </c>
      <c r="R6" s="271">
        <f>zał2!T8</f>
        <v>97266544.71454069</v>
      </c>
      <c r="S6" s="271">
        <f>zał2!U8</f>
        <v>100276616.85584289</v>
      </c>
      <c r="T6" s="271">
        <f>zał2!V8</f>
        <v>103379845.51118</v>
      </c>
      <c r="U6" s="271">
        <f>zał2!W8</f>
        <v>106579113.86081672</v>
      </c>
      <c r="V6" s="271">
        <f>zał2!X8</f>
        <v>109877394.3234559</v>
      </c>
      <c r="W6" s="271">
        <f>zał2!Y8</f>
        <v>113277751.31842552</v>
      </c>
      <c r="X6" s="271">
        <f>zał2!Z8</f>
        <v>116783344.11336747</v>
      </c>
    </row>
    <row r="7" spans="1:24" ht="12.75">
      <c r="A7" s="268" t="s">
        <v>340</v>
      </c>
      <c r="B7" s="254" t="s">
        <v>341</v>
      </c>
      <c r="C7" s="272">
        <v>30707330.28</v>
      </c>
      <c r="D7" s="273">
        <v>0</v>
      </c>
      <c r="E7" s="271">
        <f>SUM(D7+0.05*D7)</f>
        <v>0</v>
      </c>
      <c r="F7" s="271">
        <f>SUM(E7+0.05*E7)</f>
        <v>0</v>
      </c>
      <c r="G7" s="271">
        <f>SUM(F7+0.03*F7)</f>
        <v>0</v>
      </c>
      <c r="H7" s="271">
        <f>SUM(G7+0.03*G7)</f>
        <v>0</v>
      </c>
      <c r="I7" s="271">
        <f>SUM(H7+0.03*H7)</f>
        <v>0</v>
      </c>
      <c r="J7" s="271">
        <f>SUM(I7+0.03*I7)</f>
        <v>0</v>
      </c>
      <c r="K7" s="271">
        <f>SUM(J7+0.03*J7)</f>
        <v>0</v>
      </c>
      <c r="L7" s="271">
        <f>SUM(K7+0.03*K7)</f>
        <v>0</v>
      </c>
      <c r="M7" s="271">
        <f>SUM(L7+0.03*L7)</f>
        <v>0</v>
      </c>
      <c r="N7" s="271">
        <f>SUM(M7+0.03*M7)</f>
        <v>0</v>
      </c>
      <c r="O7" s="271">
        <f>SUM(N7+0.03*N7)</f>
        <v>0</v>
      </c>
      <c r="P7" s="271">
        <f>SUM(O7+0.03*O7)</f>
        <v>0</v>
      </c>
      <c r="Q7" s="271">
        <f>SUM(P7+0.03*P7)</f>
        <v>0</v>
      </c>
      <c r="R7" s="271">
        <f>SUM(Q7+0.03*Q7)</f>
        <v>0</v>
      </c>
      <c r="S7" s="271">
        <f>SUM(R7+0.03*R7)</f>
        <v>0</v>
      </c>
      <c r="T7" s="271">
        <f>SUM(S7+0.03*S7)</f>
        <v>0</v>
      </c>
      <c r="U7" s="271">
        <f>SUM(T7+0.03*T7)</f>
        <v>0</v>
      </c>
      <c r="V7" s="271">
        <f>SUM(U7+0.03*U7)</f>
        <v>0</v>
      </c>
      <c r="W7" s="271">
        <f>SUM(V7+0.03*V7)</f>
        <v>0</v>
      </c>
      <c r="X7" s="271">
        <f>SUM(W7+0.03*W7)</f>
        <v>0</v>
      </c>
    </row>
    <row r="8" spans="1:24" ht="19.5" customHeight="1">
      <c r="A8" s="268" t="s">
        <v>308</v>
      </c>
      <c r="B8" s="254" t="s">
        <v>342</v>
      </c>
      <c r="C8" s="255">
        <f>SUM(C7-C9-C10)</f>
        <v>17553272.48</v>
      </c>
      <c r="D8" s="274">
        <f>SUM(D7-D9-D10)</f>
        <v>0</v>
      </c>
      <c r="E8" s="275">
        <f>SUM(D8+0.03*D8)</f>
        <v>0</v>
      </c>
      <c r="F8" s="275">
        <f>SUM(E8+0.03*E8)</f>
        <v>0</v>
      </c>
      <c r="G8" s="275">
        <f>SUM(F8+0.03*F8)</f>
        <v>0</v>
      </c>
      <c r="H8" s="275">
        <f>SUM(G8+0.03*G8)</f>
        <v>0</v>
      </c>
      <c r="I8" s="275">
        <f>SUM(H8+0.03*H8)</f>
        <v>0</v>
      </c>
      <c r="J8" s="275">
        <f>SUM(I8+0.03*I8)</f>
        <v>0</v>
      </c>
      <c r="K8" s="275">
        <f>SUM(J8+0.03*J8)</f>
        <v>0</v>
      </c>
      <c r="L8" s="275">
        <f>SUM(K8+0.03*K8)</f>
        <v>0</v>
      </c>
      <c r="M8" s="275">
        <f>SUM(L8+0.03*L8)</f>
        <v>0</v>
      </c>
      <c r="N8" s="275">
        <f>SUM(M8+0.03*M8)</f>
        <v>0</v>
      </c>
      <c r="O8" s="275">
        <f>SUM(N8+0.03*N8)</f>
        <v>0</v>
      </c>
      <c r="P8" s="275">
        <f>SUM(O8+0.03*O8)</f>
        <v>0</v>
      </c>
      <c r="Q8" s="275">
        <f>SUM(P8+0.03*P8)</f>
        <v>0</v>
      </c>
      <c r="R8" s="275">
        <f>SUM(Q8+0.03*Q8)</f>
        <v>0</v>
      </c>
      <c r="S8" s="275">
        <f>SUM(R8+0.03*R8)</f>
        <v>0</v>
      </c>
      <c r="T8" s="275">
        <f>SUM(S8+0.03*S8)</f>
        <v>0</v>
      </c>
      <c r="U8" s="275">
        <f>SUM(T8+0.03*T8)</f>
        <v>0</v>
      </c>
      <c r="V8" s="275">
        <f>SUM(U8+0.03*U8)</f>
        <v>0</v>
      </c>
      <c r="W8" s="275">
        <f>SUM(V8+0.03*V8)</f>
        <v>0</v>
      </c>
      <c r="X8" s="275">
        <f>SUM(W8+0.03*W8)</f>
        <v>0</v>
      </c>
    </row>
    <row r="9" spans="1:24" ht="20.25" customHeight="1">
      <c r="A9" s="268" t="s">
        <v>310</v>
      </c>
      <c r="B9" s="254" t="s">
        <v>343</v>
      </c>
      <c r="C9" s="66">
        <v>6254896.34</v>
      </c>
      <c r="D9" s="273">
        <v>0</v>
      </c>
      <c r="E9" s="275">
        <f>zał2!G11+2140684</f>
        <v>8140684</v>
      </c>
      <c r="F9" s="275">
        <f>zał2!H11+2140684</f>
        <v>3640684</v>
      </c>
      <c r="G9" s="275">
        <f>zał2!I11+2140684</f>
        <v>3685684</v>
      </c>
      <c r="H9" s="275">
        <f>zał2!J11+2140684</f>
        <v>3732034</v>
      </c>
      <c r="I9" s="275">
        <f>zał2!K11+2140684</f>
        <v>3779774.5</v>
      </c>
      <c r="J9" s="275">
        <f>zał2!L11+2140684</f>
        <v>3828947.215</v>
      </c>
      <c r="K9" s="275">
        <f>zał2!M11+2140684</f>
        <v>3879595.11145</v>
      </c>
      <c r="L9" s="275">
        <f>zał2!N11+2140684</f>
        <v>3931762.4447935</v>
      </c>
      <c r="M9" s="275">
        <f>zał2!O11+2140684</f>
        <v>3985494.7981373053</v>
      </c>
      <c r="N9" s="275">
        <f>zał2!P11+2140684</f>
        <v>4040839.1220814246</v>
      </c>
      <c r="O9" s="275">
        <f>zał2!Q11+2140684</f>
        <v>4097843.7757438673</v>
      </c>
      <c r="P9" s="275">
        <f>zał2!R11+2140684</f>
        <v>4156558.5690161833</v>
      </c>
      <c r="Q9" s="275">
        <f>zał2!S11+2140684</f>
        <v>4217034.806086669</v>
      </c>
      <c r="R9" s="275">
        <f>zał2!T11+2140684</f>
        <v>4279325.330269269</v>
      </c>
      <c r="S9" s="275">
        <f>zał2!U11+2140684</f>
        <v>4343484.5701773465</v>
      </c>
      <c r="T9" s="275">
        <f>zał2!V11+2140684</f>
        <v>4409568.587282667</v>
      </c>
      <c r="U9" s="275">
        <f>zał2!W11+2140684</f>
        <v>4477635.124901148</v>
      </c>
      <c r="V9" s="275">
        <f>zał2!X11+2140684</f>
        <v>4547743.658648182</v>
      </c>
      <c r="W9" s="275">
        <f>zał2!Y11+2140684</f>
        <v>4619955.448407628</v>
      </c>
      <c r="X9" s="275">
        <f>zał2!Z11+2140684</f>
        <v>4694333.591859857</v>
      </c>
    </row>
    <row r="10" spans="1:24" ht="19.5" customHeight="1">
      <c r="A10" s="268" t="s">
        <v>312</v>
      </c>
      <c r="B10" s="254" t="s">
        <v>344</v>
      </c>
      <c r="C10" s="272">
        <v>6899161.46</v>
      </c>
      <c r="D10" s="273">
        <v>0</v>
      </c>
      <c r="E10" s="275">
        <f>SUM(D10+0.04*D10)</f>
        <v>0</v>
      </c>
      <c r="F10" s="275">
        <f>SUM(E10+0.04*E10)</f>
        <v>0</v>
      </c>
      <c r="G10" s="275">
        <f>SUM(F10+0.04*F10)</f>
        <v>0</v>
      </c>
      <c r="H10" s="275">
        <f>SUM(G10+0.04*G10)</f>
        <v>0</v>
      </c>
      <c r="I10" s="275">
        <f>SUM(H10+0.04*H10)</f>
        <v>0</v>
      </c>
      <c r="J10" s="275">
        <f>SUM(I10+0.04*I10)</f>
        <v>0</v>
      </c>
      <c r="K10" s="275">
        <f>SUM(J10+0.04*J10)</f>
        <v>0</v>
      </c>
      <c r="L10" s="275">
        <f>SUM(K10+0.04*K10)</f>
        <v>0</v>
      </c>
      <c r="M10" s="275">
        <f>SUM(L10+0.04*L10)</f>
        <v>0</v>
      </c>
      <c r="N10" s="275">
        <f>SUM(M10+0.04*M10)</f>
        <v>0</v>
      </c>
      <c r="O10" s="275">
        <f>SUM(N10+0.04*N10)</f>
        <v>0</v>
      </c>
      <c r="P10" s="275">
        <f>SUM(O10+0.04*O10)</f>
        <v>0</v>
      </c>
      <c r="Q10" s="275">
        <f>SUM(P10+0.04*P10)</f>
        <v>0</v>
      </c>
      <c r="R10" s="275">
        <f>SUM(Q10+0.04*Q10)</f>
        <v>0</v>
      </c>
      <c r="S10" s="275">
        <f>SUM(R10+0.04*R10)</f>
        <v>0</v>
      </c>
      <c r="T10" s="275">
        <f>SUM(S10+0.04*S10)</f>
        <v>0</v>
      </c>
      <c r="U10" s="275">
        <f>SUM(T10+0.04*T10)</f>
        <v>0</v>
      </c>
      <c r="V10" s="275">
        <f>SUM(U10+0.04*U10)</f>
        <v>0</v>
      </c>
      <c r="W10" s="275">
        <f>SUM(V10+0.04*V10)</f>
        <v>0</v>
      </c>
      <c r="X10" s="275">
        <f>SUM(W10+0.04*W10)</f>
        <v>0</v>
      </c>
    </row>
    <row r="11" spans="1:24" ht="19.5" customHeight="1">
      <c r="A11" s="268" t="s">
        <v>345</v>
      </c>
      <c r="B11" s="254" t="s">
        <v>346</v>
      </c>
      <c r="C11" s="66">
        <v>22008845</v>
      </c>
      <c r="D11" s="273">
        <v>0</v>
      </c>
      <c r="E11" s="275">
        <f>SUM(D11+0.03*D11)</f>
        <v>0</v>
      </c>
      <c r="F11" s="275">
        <f>SUM(E11+0.03*E11)</f>
        <v>0</v>
      </c>
      <c r="G11" s="275">
        <f>SUM(F11+0.03*F11)</f>
        <v>0</v>
      </c>
      <c r="H11" s="275">
        <f>SUM(G11+0.03*G11)</f>
        <v>0</v>
      </c>
      <c r="I11" s="275">
        <f>SUM(H11+0.03*H11)</f>
        <v>0</v>
      </c>
      <c r="J11" s="275">
        <f>SUM(I11+0.03*I11)</f>
        <v>0</v>
      </c>
      <c r="K11" s="275">
        <f>SUM(J11+0.03*J11)</f>
        <v>0</v>
      </c>
      <c r="L11" s="275">
        <f>SUM(K11+0.03*K11)</f>
        <v>0</v>
      </c>
      <c r="M11" s="275">
        <f>SUM(L11+0.03*L11)</f>
        <v>0</v>
      </c>
      <c r="N11" s="275">
        <f>SUM(M11+0.03*M11)</f>
        <v>0</v>
      </c>
      <c r="O11" s="275">
        <f>SUM(N11+0.03*N11)</f>
        <v>0</v>
      </c>
      <c r="P11" s="275">
        <f>SUM(O11+0.03*O11)</f>
        <v>0</v>
      </c>
      <c r="Q11" s="275">
        <f>SUM(P11+0.03*P11)</f>
        <v>0</v>
      </c>
      <c r="R11" s="275">
        <f>SUM(Q11+0.03*Q11)</f>
        <v>0</v>
      </c>
      <c r="S11" s="275">
        <f>SUM(R11+0.03*R11)</f>
        <v>0</v>
      </c>
      <c r="T11" s="275">
        <f>SUM(S11+0.03*S11)</f>
        <v>0</v>
      </c>
      <c r="U11" s="275">
        <f>SUM(T11+0.03*T11)</f>
        <v>0</v>
      </c>
      <c r="V11" s="275">
        <f>SUM(U11+0.03*U11)</f>
        <v>0</v>
      </c>
      <c r="W11" s="275">
        <f>SUM(V11+0.03*V11)</f>
        <v>0</v>
      </c>
      <c r="X11" s="275">
        <f>SUM(W11+0.03*W11)</f>
        <v>0</v>
      </c>
    </row>
    <row r="12" spans="1:24" ht="19.5" customHeight="1">
      <c r="A12" s="268" t="s">
        <v>347</v>
      </c>
      <c r="B12" s="254" t="s">
        <v>348</v>
      </c>
      <c r="C12" s="66">
        <v>19957957.99</v>
      </c>
      <c r="D12" s="273">
        <v>0</v>
      </c>
      <c r="E12" s="275">
        <f>SUM(E6-E7-E11)</f>
        <v>70053827.02903</v>
      </c>
      <c r="F12" s="275">
        <f>SUM(F6-F7-F11)</f>
        <v>67473134.46292993</v>
      </c>
      <c r="G12" s="275">
        <f>SUM(G6-G7-G11)</f>
        <v>69561160.94728076</v>
      </c>
      <c r="H12" s="275">
        <f>SUM(H6-H7-H11)</f>
        <v>71713807.03212646</v>
      </c>
      <c r="I12" s="275">
        <f>SUM(I6-I7-I11)</f>
        <v>73933072.64846678</v>
      </c>
      <c r="J12" s="275">
        <f>SUM(J6-J7-J11)</f>
        <v>76221019.62686399</v>
      </c>
      <c r="K12" s="275">
        <f>SUM(K6-K7-K11)</f>
        <v>78579773.61338034</v>
      </c>
      <c r="L12" s="275">
        <f>SUM(L6-L7-L11)</f>
        <v>81011526.04482122</v>
      </c>
      <c r="M12" s="275">
        <f>SUM(M6-M7-M11)</f>
        <v>83518536.18511955</v>
      </c>
      <c r="N12" s="275">
        <f>SUM(N6-N7-N11)</f>
        <v>86103133.22475438</v>
      </c>
      <c r="O12" s="275">
        <f>SUM(O6-O7-O11)</f>
        <v>88767718.44515477</v>
      </c>
      <c r="P12" s="275">
        <f>SUM(P6-P7-P11)</f>
        <v>91514767.45010057</v>
      </c>
      <c r="Q12" s="275">
        <f>SUM(Q6-Q7-Q11)</f>
        <v>94346832.46619408</v>
      </c>
      <c r="R12" s="275">
        <f>SUM(R6-R7-R11)</f>
        <v>97266544.71454069</v>
      </c>
      <c r="S12" s="275">
        <f>SUM(S6-S7-S11)</f>
        <v>100276616.85584289</v>
      </c>
      <c r="T12" s="275">
        <f>SUM(T6-T7-T11)</f>
        <v>103379845.51118</v>
      </c>
      <c r="U12" s="275">
        <f>SUM(U6-U7-U11)</f>
        <v>106579113.86081672</v>
      </c>
      <c r="V12" s="275">
        <f>SUM(V6-V7-V11)</f>
        <v>109877394.3234559</v>
      </c>
      <c r="W12" s="275">
        <f>SUM(W6-W7-W11)</f>
        <v>113277751.31842552</v>
      </c>
      <c r="X12" s="275">
        <f>SUM(X6-X7-X11)</f>
        <v>116783344.11336747</v>
      </c>
    </row>
    <row r="13" spans="1:24" ht="19.5" customHeight="1">
      <c r="A13" s="268" t="s">
        <v>349</v>
      </c>
      <c r="B13" s="276" t="s">
        <v>350</v>
      </c>
      <c r="C13" s="255">
        <f>zał2!E12</f>
        <v>80446015.95</v>
      </c>
      <c r="D13" s="274">
        <f>zał2!F12</f>
        <v>91672621.13</v>
      </c>
      <c r="E13" s="274">
        <f>zał2!G12</f>
        <v>55981527</v>
      </c>
      <c r="F13" s="274">
        <f>zał2!H12</f>
        <v>55064299</v>
      </c>
      <c r="G13" s="274">
        <f>zał2!I12</f>
        <v>56641227.97</v>
      </c>
      <c r="H13" s="274">
        <f>zał2!J12</f>
        <v>58340464.8091</v>
      </c>
      <c r="I13" s="274">
        <f>zał2!K12</f>
        <v>60090678.753373004</v>
      </c>
      <c r="J13" s="274">
        <f>zał2!L12</f>
        <v>61893399.115974195</v>
      </c>
      <c r="K13" s="274">
        <f>zał2!M12</f>
        <v>63750201.08945342</v>
      </c>
      <c r="L13" s="274">
        <f>zał2!N12</f>
        <v>65662707.122137025</v>
      </c>
      <c r="M13" s="274">
        <f>zał2!O12</f>
        <v>67632588.33580114</v>
      </c>
      <c r="N13" s="274">
        <f>zał2!P12</f>
        <v>69661565.98587517</v>
      </c>
      <c r="O13" s="274">
        <f>zał2!Q12</f>
        <v>71751412.96545142</v>
      </c>
      <c r="P13" s="274">
        <f>zał2!R12</f>
        <v>73903955.35441495</v>
      </c>
      <c r="Q13" s="274">
        <f>zał2!S12</f>
        <v>76121074.01504742</v>
      </c>
      <c r="R13" s="274">
        <f>zał2!T12</f>
        <v>78404706.23549883</v>
      </c>
      <c r="S13" s="274">
        <f>zał2!U12</f>
        <v>80756847.42256379</v>
      </c>
      <c r="T13" s="274">
        <f>zał2!V12</f>
        <v>83179552.84524071</v>
      </c>
      <c r="U13" s="274">
        <f>zał2!W12</f>
        <v>85674939.43059793</v>
      </c>
      <c r="V13" s="274">
        <f>zał2!X12</f>
        <v>88245187.61351587</v>
      </c>
      <c r="W13" s="274">
        <f>zał2!Y12</f>
        <v>90892543.24192135</v>
      </c>
      <c r="X13" s="274">
        <f>zał2!Z12</f>
        <v>93619319.53917898</v>
      </c>
    </row>
    <row r="14" spans="1:24" ht="24.75">
      <c r="A14" s="268" t="s">
        <v>351</v>
      </c>
      <c r="B14" s="269" t="s">
        <v>352</v>
      </c>
      <c r="C14" s="277">
        <f>SUM(C15,C19,C23)</f>
        <v>9543861.239999998</v>
      </c>
      <c r="D14" s="277">
        <f>SUM(D15,D19,D23)</f>
        <v>10673140.89</v>
      </c>
      <c r="E14" s="277">
        <f>SUM(E15,E19,E23)</f>
        <v>9001163.51043</v>
      </c>
      <c r="F14" s="277">
        <f>SUM(F15,F19,F23)</f>
        <v>7649874.7363599995</v>
      </c>
      <c r="G14" s="277">
        <f>SUM(G15,G19,G23)</f>
        <v>5040833.002289999</v>
      </c>
      <c r="H14" s="277">
        <f>SUM(H15,H19,H23)</f>
        <v>4833655.26822</v>
      </c>
      <c r="I14" s="277">
        <f>SUM(I15,I19,I23)</f>
        <v>4626477.534150001</v>
      </c>
      <c r="J14" s="277">
        <f>SUM(J15,J19,J23)</f>
        <v>4419299.80008</v>
      </c>
      <c r="K14" s="277">
        <f>SUM(K15,K19,K23)</f>
        <v>4212130.52601</v>
      </c>
      <c r="L14" s="277">
        <f>SUM(L15,L19,L23)</f>
        <v>3050896.3285400006</v>
      </c>
      <c r="M14" s="277">
        <f>SUM(M15,M19,M23)</f>
        <v>1449985.2348700005</v>
      </c>
      <c r="N14" s="277">
        <f>SUM(N15,N19,N23)</f>
        <v>1396552.8712000004</v>
      </c>
      <c r="O14" s="277">
        <f>SUM(O15,O19,O23)</f>
        <v>1343120.5075300005</v>
      </c>
      <c r="P14" s="277">
        <f>SUM(P15,P19,P23)</f>
        <v>1289688.1438600007</v>
      </c>
      <c r="Q14" s="277">
        <f>SUM(Q15,Q19,Q23)</f>
        <v>1236255.7801900003</v>
      </c>
      <c r="R14" s="277">
        <f>SUM(R15,R19,R23)</f>
        <v>1182823.4165200004</v>
      </c>
      <c r="S14" s="277">
        <f>SUM(S15,S19,S23)</f>
        <v>1129391.0528500006</v>
      </c>
      <c r="T14" s="277">
        <f>SUM(T15,T19,T23)</f>
        <v>1075958.6891800005</v>
      </c>
      <c r="U14" s="277">
        <f>SUM(U15,U19,U23)</f>
        <v>1022526.3255100003</v>
      </c>
      <c r="V14" s="277">
        <f>SUM(V15,V19,V23)</f>
        <v>969093.9618400005</v>
      </c>
      <c r="W14" s="277">
        <f>SUM(W15,W19,W23)</f>
        <v>915672.8781700004</v>
      </c>
      <c r="X14" s="277">
        <f>SUM(X15,X19,X23)</f>
        <v>418691.39450000005</v>
      </c>
    </row>
    <row r="15" spans="1:24" ht="46.5" customHeight="1">
      <c r="A15" s="268" t="s">
        <v>340</v>
      </c>
      <c r="B15" s="252" t="s">
        <v>353</v>
      </c>
      <c r="C15" s="277">
        <f>SUM(C16:C18)</f>
        <v>8351861.239999999</v>
      </c>
      <c r="D15" s="277">
        <f>SUM(D16:D18)</f>
        <v>9481140.89</v>
      </c>
      <c r="E15" s="277">
        <f>SUM(E16:E18)</f>
        <v>7139069.770304594</v>
      </c>
      <c r="F15" s="277">
        <f>SUM(F16:F18)</f>
        <v>6860352.331982293</v>
      </c>
      <c r="G15" s="277">
        <f>SUM(G16:G18)</f>
        <v>4294110.515724957</v>
      </c>
      <c r="H15" s="277">
        <f>SUM(H16:H18)</f>
        <v>4129732.6994676213</v>
      </c>
      <c r="I15" s="277">
        <f>SUM(I16:I18)</f>
        <v>3965354.883210285</v>
      </c>
      <c r="J15" s="277">
        <f>SUM(J16:J18)</f>
        <v>3800977.0669529485</v>
      </c>
      <c r="K15" s="277">
        <f>SUM(K16:K18)</f>
        <v>3636607.8222517874</v>
      </c>
      <c r="L15" s="277">
        <f>SUM(L16:L18)</f>
        <v>2505593.1778113022</v>
      </c>
      <c r="M15" s="277">
        <f>SUM(M16:M18)</f>
        <v>915720.4362300439</v>
      </c>
      <c r="N15" s="277">
        <f>SUM(N16:N18)</f>
        <v>873326.4246487856</v>
      </c>
      <c r="O15" s="277">
        <f>SUM(O16:O18)</f>
        <v>830932.4130675273</v>
      </c>
      <c r="P15" s="277">
        <f>SUM(P16:P18)</f>
        <v>788538.401486269</v>
      </c>
      <c r="Q15" s="277">
        <f>SUM(Q16:Q18)</f>
        <v>746144.3899050106</v>
      </c>
      <c r="R15" s="277">
        <f>SUM(R16:R18)</f>
        <v>703750.3783237523</v>
      </c>
      <c r="S15" s="277">
        <f>SUM(S16:S18)</f>
        <v>661356.3667424939</v>
      </c>
      <c r="T15" s="277">
        <f>SUM(T16:T18)</f>
        <v>618962.3551612357</v>
      </c>
      <c r="U15" s="277">
        <f>SUM(U16:U18)</f>
        <v>576568.3435799773</v>
      </c>
      <c r="V15" s="277">
        <f>SUM(V16:V18)</f>
        <v>534174.331998719</v>
      </c>
      <c r="W15" s="277">
        <f>SUM(W16:W18)</f>
        <v>491791.74915902776</v>
      </c>
      <c r="X15" s="277">
        <f>SUM(X16:X18)</f>
        <v>0</v>
      </c>
    </row>
    <row r="16" spans="1:24" ht="24.75">
      <c r="A16" s="268" t="s">
        <v>308</v>
      </c>
      <c r="B16" s="252" t="s">
        <v>354</v>
      </c>
      <c r="C16" s="278">
        <f>zał2!E70+zał2!E71-zał2!E77-zał2!E78-zał2!E79</f>
        <v>4726604.1</v>
      </c>
      <c r="D16" s="278">
        <f>zał2!F70+zał2!F71-zał2!F77-zał2!F78-zał2!F79</f>
        <v>6035183.99</v>
      </c>
      <c r="E16" s="278">
        <f>zał2!G70+zał2!G71-zał2!G77-zał2!G78-zał2!G79</f>
        <v>4352333.14</v>
      </c>
      <c r="F16" s="278">
        <f>zał2!H70+zał2!H71-zał2!H77-zał2!H78-zał2!H79</f>
        <v>4352333.9399999995</v>
      </c>
      <c r="G16" s="278">
        <f>zał2!I70+zał2!I71-zał2!I77-zał2!I78-zał2!I79</f>
        <v>2174186.94</v>
      </c>
      <c r="H16" s="278">
        <f>zał2!J70+zał2!J71-zał2!J77-zał2!J78-zał2!J79</f>
        <v>2174186.94</v>
      </c>
      <c r="I16" s="278">
        <f>zał2!K70+zał2!K71-zał2!K77-zał2!K78-zał2!K79</f>
        <v>2174186.94</v>
      </c>
      <c r="J16" s="278">
        <f>zał2!L70+zał2!L71-zał2!L77-zał2!L78-zał2!L79</f>
        <v>2174186.94</v>
      </c>
      <c r="K16" s="278">
        <f>zał2!M70+zał2!M71-zał2!M77-zał2!M78-zał2!M79</f>
        <v>2174192.94</v>
      </c>
      <c r="L16" s="278">
        <f>zał2!N70+zał2!N71-zał2!N77-zał2!N78-zał2!N79</f>
        <v>1630657.83</v>
      </c>
      <c r="M16" s="278">
        <f>zał2!O70+zał2!O71-zał2!O77-zał2!O78-zał2!O79</f>
        <v>396660</v>
      </c>
      <c r="N16" s="278">
        <f>zał2!P70+zał2!P71-zał2!P77-zał2!P78-zał2!P79</f>
        <v>396660</v>
      </c>
      <c r="O16" s="278">
        <f>zał2!Q70+zał2!Q71-zał2!Q77-zał2!Q78-zał2!Q79</f>
        <v>396660</v>
      </c>
      <c r="P16" s="278">
        <f>zał2!R70+zał2!R71-zał2!R77-zał2!R78-zał2!R79</f>
        <v>396660</v>
      </c>
      <c r="Q16" s="278">
        <f>zał2!S70+zał2!S71-zał2!S77-zał2!S78-zał2!S79</f>
        <v>396660</v>
      </c>
      <c r="R16" s="278">
        <f>zał2!T70+zał2!T71-zał2!T77-zał2!T78-zał2!T79</f>
        <v>396660</v>
      </c>
      <c r="S16" s="278">
        <f>zał2!U70+zał2!U71-zał2!U77-zał2!U78-zał2!U79</f>
        <v>396660</v>
      </c>
      <c r="T16" s="278">
        <f>zał2!V70+zał2!V71-zał2!V77-zał2!V78-zał2!V79</f>
        <v>396660</v>
      </c>
      <c r="U16" s="278">
        <f>zał2!W70+zał2!W71-zał2!W77-zał2!W78-zał2!W79</f>
        <v>396660</v>
      </c>
      <c r="V16" s="278">
        <f>zał2!X70+zał2!X71-zał2!X77-zał2!X78-zał2!X79</f>
        <v>396660</v>
      </c>
      <c r="W16" s="278">
        <f>zał2!Y70+zał2!Y71-zał2!Y77-zał2!Y78-zał2!Y79</f>
        <v>396626</v>
      </c>
      <c r="X16" s="278">
        <f>zał2!Z70+zał2!Z71-zał2!Z77-zał2!Z78-zał2!Z79</f>
        <v>0</v>
      </c>
    </row>
    <row r="17" spans="1:24" ht="84.75">
      <c r="A17" s="268" t="s">
        <v>310</v>
      </c>
      <c r="B17" s="252" t="s">
        <v>355</v>
      </c>
      <c r="C17" s="279">
        <f>zał2!E77+zał2!E78+zał2!E79</f>
        <v>1974529.9</v>
      </c>
      <c r="D17" s="279">
        <f>zał2!F77+zał2!F78+zał2!F79</f>
        <v>1245956.9</v>
      </c>
      <c r="E17" s="279">
        <f>zał2!G77+zał2!G78+zał2!G79</f>
        <v>1083800.9</v>
      </c>
      <c r="F17" s="279">
        <f>zał2!H77+zał2!H78+zał2!H79</f>
        <v>1083800.9</v>
      </c>
      <c r="G17" s="279">
        <f>zał2!I77+zał2!I78+zał2!I79</f>
        <v>860083.9</v>
      </c>
      <c r="H17" s="279">
        <f>zał2!J77+zał2!J78+zał2!J79</f>
        <v>860083.9</v>
      </c>
      <c r="I17" s="279">
        <f>zał2!K77+zał2!K78+zał2!K79</f>
        <v>860083.9</v>
      </c>
      <c r="J17" s="279">
        <f>zał2!L77+zał2!L78+zał2!L79</f>
        <v>860083.9</v>
      </c>
      <c r="K17" s="279">
        <f>zał2!M77+zał2!M78+zał2!M79</f>
        <v>860086.9</v>
      </c>
      <c r="L17" s="279">
        <f>zał2!N77+zał2!N78+zał2!N79</f>
        <v>388668.9</v>
      </c>
      <c r="M17" s="279">
        <f>zał2!O77+zał2!O78+zał2!O79</f>
        <v>75188</v>
      </c>
      <c r="N17" s="279">
        <f>zał2!P77+zał2!P78+zał2!P79</f>
        <v>75188</v>
      </c>
      <c r="O17" s="279">
        <f>zał2!Q77+zał2!Q78+zał2!Q79</f>
        <v>75188</v>
      </c>
      <c r="P17" s="279">
        <f>zał2!R77+zał2!R78+zał2!R79</f>
        <v>75188</v>
      </c>
      <c r="Q17" s="279">
        <f>zał2!S77+zał2!S78+zał2!S79</f>
        <v>75188</v>
      </c>
      <c r="R17" s="279">
        <f>zał2!T77+zał2!T78+zał2!T79</f>
        <v>75188</v>
      </c>
      <c r="S17" s="279">
        <f>zał2!U77+zał2!U78+zał2!U79</f>
        <v>75188</v>
      </c>
      <c r="T17" s="279">
        <f>zał2!V77+zał2!V78+zał2!V79</f>
        <v>75188</v>
      </c>
      <c r="U17" s="279">
        <f>zał2!W77+zał2!W78+zał2!W79</f>
        <v>75188</v>
      </c>
      <c r="V17" s="279">
        <f>zał2!X77+zał2!X78+zał2!X79</f>
        <v>75188</v>
      </c>
      <c r="W17" s="279">
        <f>zał2!Y77+zał2!Y78+zał2!Y79</f>
        <v>75234</v>
      </c>
      <c r="X17" s="279">
        <f>zał2!Z77+zał2!Z78+zał2!Z79</f>
        <v>0</v>
      </c>
    </row>
    <row r="18" spans="1:24" ht="12.75">
      <c r="A18" s="268" t="s">
        <v>312</v>
      </c>
      <c r="B18" s="254" t="s">
        <v>356</v>
      </c>
      <c r="C18" s="280">
        <f>zał2!E40</f>
        <v>1650727.24</v>
      </c>
      <c r="D18" s="281">
        <f>zał2!F40</f>
        <v>2200000</v>
      </c>
      <c r="E18" s="281">
        <f>zał2!G40-E22</f>
        <v>1702935.7303045942</v>
      </c>
      <c r="F18" s="281">
        <f>zał2!H40-F22</f>
        <v>1424217.491982294</v>
      </c>
      <c r="G18" s="281">
        <f>zał2!I40-G22</f>
        <v>1259839.6757249576</v>
      </c>
      <c r="H18" s="281">
        <f>zał2!J40-H22</f>
        <v>1095461.8594676214</v>
      </c>
      <c r="I18" s="281">
        <f>zał2!K40-I22</f>
        <v>931084.043210285</v>
      </c>
      <c r="J18" s="281">
        <f>zał2!L40-J22</f>
        <v>766706.2269529486</v>
      </c>
      <c r="K18" s="281">
        <f>zał2!M40-K22</f>
        <v>602327.9822517876</v>
      </c>
      <c r="L18" s="281">
        <f>zał2!N40-L22</f>
        <v>486266.44781130226</v>
      </c>
      <c r="M18" s="281">
        <f>zał2!O40-M22</f>
        <v>443872.43623004394</v>
      </c>
      <c r="N18" s="281">
        <f>zał2!P40-N22</f>
        <v>401478.4246487856</v>
      </c>
      <c r="O18" s="281">
        <f>zał2!Q40-O22</f>
        <v>359084.4130675273</v>
      </c>
      <c r="P18" s="281">
        <f>zał2!R40-P22</f>
        <v>316690.40148626897</v>
      </c>
      <c r="Q18" s="281">
        <f>zał2!S40-Q22</f>
        <v>274296.3899050106</v>
      </c>
      <c r="R18" s="281">
        <f>zał2!T40-R22</f>
        <v>231902.3783237523</v>
      </c>
      <c r="S18" s="281">
        <f>zał2!U40-S22</f>
        <v>189508.36674249396</v>
      </c>
      <c r="T18" s="281">
        <f>zał2!V40-T22</f>
        <v>147114.35516123564</v>
      </c>
      <c r="U18" s="281">
        <f>zał2!W40-U22</f>
        <v>104720.34357997734</v>
      </c>
      <c r="V18" s="281">
        <f>zał2!X40-V22</f>
        <v>62326.331998719026</v>
      </c>
      <c r="W18" s="281">
        <f>zał2!Y40-W22</f>
        <v>19931.749159027757</v>
      </c>
      <c r="X18" s="281">
        <f>zał2!Z40-X22</f>
        <v>0</v>
      </c>
    </row>
    <row r="19" spans="1:24" ht="38.25" customHeight="1">
      <c r="A19" s="268" t="s">
        <v>345</v>
      </c>
      <c r="B19" s="252" t="s">
        <v>357</v>
      </c>
      <c r="C19" s="277">
        <f>SUM(C20:C22)</f>
        <v>0</v>
      </c>
      <c r="D19" s="277">
        <f>SUM(D20:D22)</f>
        <v>0</v>
      </c>
      <c r="E19" s="277">
        <f>SUM(E20:E22)</f>
        <v>862093.7401254058</v>
      </c>
      <c r="F19" s="277">
        <f>SUM(F20:F22)</f>
        <v>789522.4043777062</v>
      </c>
      <c r="G19" s="277">
        <f>SUM(G20:G22)</f>
        <v>746722.4865650426</v>
      </c>
      <c r="H19" s="277">
        <f>SUM(H20:H22)</f>
        <v>703922.568752379</v>
      </c>
      <c r="I19" s="277">
        <f>SUM(I20:I22)</f>
        <v>661122.6509397154</v>
      </c>
      <c r="J19" s="277">
        <f>SUM(J20:J22)</f>
        <v>618322.7331270518</v>
      </c>
      <c r="K19" s="277">
        <f>SUM(K20:K22)</f>
        <v>575522.703758213</v>
      </c>
      <c r="L19" s="277">
        <f>SUM(L20:L22)</f>
        <v>545303.1507286982</v>
      </c>
      <c r="M19" s="277">
        <f>SUM(M20:M22)</f>
        <v>534264.7986399566</v>
      </c>
      <c r="N19" s="277">
        <f>SUM(N20:N22)</f>
        <v>523226.4465512149</v>
      </c>
      <c r="O19" s="277">
        <f>SUM(O20:O22)</f>
        <v>512188.09446247324</v>
      </c>
      <c r="P19" s="277">
        <f>SUM(P20:P22)</f>
        <v>501149.74237373157</v>
      </c>
      <c r="Q19" s="277">
        <f>SUM(Q20:Q22)</f>
        <v>490111.39028498984</v>
      </c>
      <c r="R19" s="277">
        <f>SUM(R20:R22)</f>
        <v>479073.0381962482</v>
      </c>
      <c r="S19" s="277">
        <f>SUM(S20:S22)</f>
        <v>468034.6861075065</v>
      </c>
      <c r="T19" s="277">
        <f>SUM(T20:T22)</f>
        <v>456996.3340187648</v>
      </c>
      <c r="U19" s="277">
        <f>SUM(U20:U22)</f>
        <v>445957.9819300231</v>
      </c>
      <c r="V19" s="277">
        <f>SUM(V20:V22)</f>
        <v>434919.62984128145</v>
      </c>
      <c r="W19" s="277">
        <f>SUM(W20:W22)</f>
        <v>423881.1290109727</v>
      </c>
      <c r="X19" s="277">
        <f>SUM(X20:X22)</f>
        <v>418691.39450000005</v>
      </c>
    </row>
    <row r="20" spans="1:24" ht="24.75">
      <c r="A20" s="268" t="s">
        <v>308</v>
      </c>
      <c r="B20" s="252" t="s">
        <v>354</v>
      </c>
      <c r="C20" s="282">
        <v>0</v>
      </c>
      <c r="D20" s="282">
        <f>SUM(D55-D56)</f>
        <v>0</v>
      </c>
      <c r="E20" s="282">
        <f>zał2!G72-zał2!G80</f>
        <v>287057.0445000001</v>
      </c>
      <c r="F20" s="282">
        <f>zał2!H72-zał2!H80</f>
        <v>287057.0445000001</v>
      </c>
      <c r="G20" s="282">
        <f>zał2!I72-zał2!I80</f>
        <v>287057.0445000001</v>
      </c>
      <c r="H20" s="282">
        <f>zał2!J72-zał2!J80</f>
        <v>287057.0445000001</v>
      </c>
      <c r="I20" s="282">
        <f>zał2!K72-zał2!K80</f>
        <v>287057.0445000001</v>
      </c>
      <c r="J20" s="282">
        <f>zał2!L72-zał2!L80</f>
        <v>287057.0445000001</v>
      </c>
      <c r="K20" s="282">
        <f>zał2!M72-zał2!M80</f>
        <v>287057.0445000001</v>
      </c>
      <c r="L20" s="282">
        <f>zał2!N72-zał2!N80</f>
        <v>287057.0445000001</v>
      </c>
      <c r="M20" s="282">
        <f>zał2!O72-zał2!O80</f>
        <v>287057.0445000001</v>
      </c>
      <c r="N20" s="282">
        <f>zał2!P72-zał2!P80</f>
        <v>287057.0445000001</v>
      </c>
      <c r="O20" s="282">
        <f>zał2!Q72-zał2!Q80</f>
        <v>287057.0445000001</v>
      </c>
      <c r="P20" s="282">
        <f>zał2!R72-zał2!R80</f>
        <v>287057.0445000001</v>
      </c>
      <c r="Q20" s="282">
        <f>zał2!S72-zał2!S80</f>
        <v>287057.0445000001</v>
      </c>
      <c r="R20" s="282">
        <f>zał2!T72-zał2!T80</f>
        <v>287057.0445000001</v>
      </c>
      <c r="S20" s="282">
        <f>zał2!U72-zał2!U80</f>
        <v>287057.0445000001</v>
      </c>
      <c r="T20" s="282">
        <f>zał2!V72-zał2!V80</f>
        <v>287057.0445000001</v>
      </c>
      <c r="U20" s="282">
        <f>zał2!W72-zał2!W80</f>
        <v>287057.0445000001</v>
      </c>
      <c r="V20" s="282">
        <f>zał2!X72-zał2!X80</f>
        <v>287057.0445000001</v>
      </c>
      <c r="W20" s="282">
        <f>zał2!Y72-zał2!Y80</f>
        <v>287057.0445000001</v>
      </c>
      <c r="X20" s="282">
        <f>zał2!Z72-zał2!Z80</f>
        <v>287057.0445000001</v>
      </c>
    </row>
    <row r="21" spans="1:24" ht="84.75">
      <c r="A21" s="268" t="s">
        <v>310</v>
      </c>
      <c r="B21" s="252" t="s">
        <v>355</v>
      </c>
      <c r="C21" s="282">
        <v>0</v>
      </c>
      <c r="D21" s="282">
        <f>SUM(D56)</f>
        <v>0</v>
      </c>
      <c r="E21" s="282">
        <f>zał2!G80</f>
        <v>131634.35</v>
      </c>
      <c r="F21" s="282">
        <f>zał2!H80</f>
        <v>131634.35</v>
      </c>
      <c r="G21" s="282">
        <f>zał2!I80</f>
        <v>131634.35</v>
      </c>
      <c r="H21" s="282">
        <f>zał2!J80</f>
        <v>131634.35</v>
      </c>
      <c r="I21" s="282">
        <f>zał2!K80</f>
        <v>131634.35</v>
      </c>
      <c r="J21" s="282">
        <f>zał2!L80</f>
        <v>131634.35</v>
      </c>
      <c r="K21" s="282">
        <f>zał2!M80</f>
        <v>131634.35</v>
      </c>
      <c r="L21" s="282">
        <f>zał2!N80</f>
        <v>131634.35</v>
      </c>
      <c r="M21" s="282">
        <f>zał2!O80</f>
        <v>131634.35</v>
      </c>
      <c r="N21" s="282">
        <f>zał2!P80</f>
        <v>131634.35</v>
      </c>
      <c r="O21" s="282">
        <f>zał2!Q80</f>
        <v>131634.35</v>
      </c>
      <c r="P21" s="282">
        <f>zał2!R80</f>
        <v>131634.35</v>
      </c>
      <c r="Q21" s="282">
        <f>zał2!S80</f>
        <v>131634.35</v>
      </c>
      <c r="R21" s="282">
        <f>zał2!T80</f>
        <v>131634.35</v>
      </c>
      <c r="S21" s="282">
        <f>zał2!U80</f>
        <v>131634.35</v>
      </c>
      <c r="T21" s="282">
        <f>zał2!V80</f>
        <v>131634.35</v>
      </c>
      <c r="U21" s="282">
        <f>zał2!W80</f>
        <v>131634.35</v>
      </c>
      <c r="V21" s="282">
        <f>zał2!X80</f>
        <v>131634.35</v>
      </c>
      <c r="W21" s="282">
        <f>zał2!Y80</f>
        <v>131634.35</v>
      </c>
      <c r="X21" s="282">
        <f>zał2!Z80</f>
        <v>131634.35</v>
      </c>
    </row>
    <row r="22" spans="1:24" ht="12.75">
      <c r="A22" s="268" t="s">
        <v>312</v>
      </c>
      <c r="B22" s="254" t="s">
        <v>356</v>
      </c>
      <c r="C22" s="282">
        <v>0</v>
      </c>
      <c r="D22" s="282">
        <f>SUM(D62*0.25)</f>
        <v>0</v>
      </c>
      <c r="E22" s="282">
        <f>zał2!$F$18/zał2!$E$46*zał2!G40</f>
        <v>443402.3456254058</v>
      </c>
      <c r="F22" s="282">
        <f>zał2!$F$18/zał2!$E$46*zał2!H40</f>
        <v>370831.0098777062</v>
      </c>
      <c r="G22" s="282">
        <f>zał2!$F$18/zał2!$E$46*zał2!I40</f>
        <v>328031.0920650426</v>
      </c>
      <c r="H22" s="282">
        <f>zał2!$F$18/zał2!$E$46*zał2!J40</f>
        <v>285231.174252379</v>
      </c>
      <c r="I22" s="282">
        <f>zał2!$F$18/zał2!$E$46*zał2!K40</f>
        <v>242431.2564397154</v>
      </c>
      <c r="J22" s="282">
        <f>zał2!$F$18/zał2!$E$46*zał2!L40</f>
        <v>199631.33862705177</v>
      </c>
      <c r="K22" s="282">
        <f>zał2!$F$18/zał2!$E$46*zał2!M40</f>
        <v>156831.3092582129</v>
      </c>
      <c r="L22" s="282">
        <f>zał2!$F$18/zał2!$E$46*zał2!N40</f>
        <v>126611.75622869818</v>
      </c>
      <c r="M22" s="282">
        <f>zał2!$F$18/zał2!$E$46*zał2!O40</f>
        <v>115573.4041399565</v>
      </c>
      <c r="N22" s="282">
        <f>zał2!$F$18/zał2!$E$46*zał2!P40</f>
        <v>104535.05205121484</v>
      </c>
      <c r="O22" s="282">
        <f>zał2!$F$18/zał2!$E$46*zał2!Q40</f>
        <v>93496.69996247314</v>
      </c>
      <c r="P22" s="282">
        <f>zał2!$F$18/zał2!$E$46*zał2!R40</f>
        <v>82458.34787373146</v>
      </c>
      <c r="Q22" s="282">
        <f>zał2!$F$18/zał2!$E$46*zał2!S40</f>
        <v>71419.99578498976</v>
      </c>
      <c r="R22" s="282">
        <f>zał2!$F$18/zał2!$E$46*zał2!T40</f>
        <v>60381.64369624809</v>
      </c>
      <c r="S22" s="282">
        <f>zał2!$F$18/zał2!$E$46*zał2!U40</f>
        <v>49343.2916075064</v>
      </c>
      <c r="T22" s="282">
        <f>zał2!$F$18/zał2!$E$46*zał2!V40</f>
        <v>38304.939518764724</v>
      </c>
      <c r="U22" s="282">
        <f>zał2!$F$18/zał2!$E$46*zał2!W40</f>
        <v>27266.587430023043</v>
      </c>
      <c r="V22" s="282">
        <f>zał2!$F$18/zał2!$E$46*zał2!X40</f>
        <v>16228.235341281363</v>
      </c>
      <c r="W22" s="282">
        <f>zał2!$F$18/zał2!$E$46*zał2!Y40</f>
        <v>5189.734510972622</v>
      </c>
      <c r="X22" s="282">
        <f>zał2!$F$18/zał2!$E$46*zał2!Z40</f>
        <v>0</v>
      </c>
    </row>
    <row r="23" spans="1:24" ht="24.75">
      <c r="A23" s="268" t="s">
        <v>347</v>
      </c>
      <c r="B23" s="252" t="s">
        <v>358</v>
      </c>
      <c r="C23" s="275">
        <f>zał1!G16</f>
        <v>1192000</v>
      </c>
      <c r="D23" s="275">
        <f>zał2!F35</f>
        <v>1192000</v>
      </c>
      <c r="E23" s="275">
        <f>zał2!G35</f>
        <v>1000000</v>
      </c>
      <c r="F23" s="275">
        <f>zał2!H35</f>
        <v>0</v>
      </c>
      <c r="G23" s="275">
        <f>zał2!I35</f>
        <v>0</v>
      </c>
      <c r="H23" s="275">
        <f>zał2!J35</f>
        <v>0</v>
      </c>
      <c r="I23" s="275">
        <f>zał2!K35</f>
        <v>0</v>
      </c>
      <c r="J23" s="275">
        <f>zał2!L35</f>
        <v>0</v>
      </c>
      <c r="K23" s="275">
        <f>zał2!M35</f>
        <v>0</v>
      </c>
      <c r="L23" s="275">
        <f>zał2!N35</f>
        <v>0</v>
      </c>
      <c r="M23" s="275">
        <f>zał2!O35</f>
        <v>0</v>
      </c>
      <c r="N23" s="275">
        <f>zał2!P35</f>
        <v>0</v>
      </c>
      <c r="O23" s="275">
        <f>zał2!Q35</f>
        <v>0</v>
      </c>
      <c r="P23" s="275">
        <f>zał2!R35</f>
        <v>0</v>
      </c>
      <c r="Q23" s="275">
        <f>zał2!S35</f>
        <v>0</v>
      </c>
      <c r="R23" s="275">
        <f>zał2!T35</f>
        <v>0</v>
      </c>
      <c r="S23" s="275">
        <f>zał2!U35</f>
        <v>0</v>
      </c>
      <c r="T23" s="275">
        <f>zał2!V35</f>
        <v>0</v>
      </c>
      <c r="U23" s="275">
        <f>zał2!W35</f>
        <v>0</v>
      </c>
      <c r="V23" s="275">
        <f>zał2!X35</f>
        <v>0</v>
      </c>
      <c r="W23" s="275">
        <f>zał2!Y35</f>
        <v>0</v>
      </c>
      <c r="X23" s="275">
        <f>zał2!Z35</f>
        <v>0</v>
      </c>
    </row>
    <row r="24" spans="1:24" ht="24.75">
      <c r="A24" s="268" t="s">
        <v>359</v>
      </c>
      <c r="B24" s="252" t="s">
        <v>360</v>
      </c>
      <c r="C24" s="275">
        <f>zał2!E30</f>
        <v>0</v>
      </c>
      <c r="D24" s="275">
        <f>zał2!F30</f>
        <v>0</v>
      </c>
      <c r="E24" s="275">
        <f>zał2!G30</f>
        <v>0</v>
      </c>
      <c r="F24" s="275">
        <f>zał2!H30</f>
        <v>0</v>
      </c>
      <c r="G24" s="275">
        <f>zał2!I30</f>
        <v>0</v>
      </c>
      <c r="H24" s="275">
        <f>zał2!J30</f>
        <v>0</v>
      </c>
      <c r="I24" s="275">
        <f>zał2!K30</f>
        <v>0</v>
      </c>
      <c r="J24" s="275">
        <f>zał2!L30</f>
        <v>0</v>
      </c>
      <c r="K24" s="275">
        <f>zał2!M30</f>
        <v>0</v>
      </c>
      <c r="L24" s="275">
        <f>zał2!N30</f>
        <v>0</v>
      </c>
      <c r="M24" s="275">
        <f>zał2!O30</f>
        <v>0</v>
      </c>
      <c r="N24" s="275">
        <f>zał2!P30</f>
        <v>0</v>
      </c>
      <c r="O24" s="275">
        <f>zał2!Q30</f>
        <v>0</v>
      </c>
      <c r="P24" s="275">
        <f>zał2!R30</f>
        <v>0</v>
      </c>
      <c r="Q24" s="275">
        <f>zał2!S30</f>
        <v>0</v>
      </c>
      <c r="R24" s="275">
        <f>zał2!T30</f>
        <v>0</v>
      </c>
      <c r="S24" s="275">
        <f>zał2!U30</f>
        <v>0</v>
      </c>
      <c r="T24" s="275">
        <f>zał2!V30</f>
        <v>0</v>
      </c>
      <c r="U24" s="275">
        <f>zał2!W30</f>
        <v>0</v>
      </c>
      <c r="V24" s="275">
        <f>zał2!X30</f>
        <v>0</v>
      </c>
      <c r="W24" s="275">
        <f>zał2!Y30</f>
        <v>0</v>
      </c>
      <c r="X24" s="275">
        <f>zał2!Z30</f>
        <v>0</v>
      </c>
    </row>
    <row r="25" spans="1:24" ht="12.75">
      <c r="A25" s="268" t="s">
        <v>361</v>
      </c>
      <c r="B25" s="276" t="s">
        <v>362</v>
      </c>
      <c r="C25" s="277">
        <f>C6-C13</f>
        <v>-7771882.680000007</v>
      </c>
      <c r="D25" s="271">
        <f>D6-D13</f>
        <v>-1803765</v>
      </c>
      <c r="E25" s="271">
        <f>E6-E13</f>
        <v>14072300.029029995</v>
      </c>
      <c r="F25" s="271">
        <f>F6-F13</f>
        <v>12408835.462929934</v>
      </c>
      <c r="G25" s="271">
        <f>G6-G13</f>
        <v>12919932.977280766</v>
      </c>
      <c r="H25" s="271">
        <f>H6-H13</f>
        <v>13373342.223026454</v>
      </c>
      <c r="I25" s="271">
        <f>I6-I13</f>
        <v>13842393.895093776</v>
      </c>
      <c r="J25" s="271">
        <f>J6-J13</f>
        <v>14327620.510889791</v>
      </c>
      <c r="K25" s="271">
        <f>K6-K13</f>
        <v>14829572.523926921</v>
      </c>
      <c r="L25" s="271">
        <f>L6-L13</f>
        <v>15348818.922684193</v>
      </c>
      <c r="M25" s="271">
        <f>M6-M13</f>
        <v>15885947.849318415</v>
      </c>
      <c r="N25" s="271">
        <f>N6-N13</f>
        <v>16441567.238879204</v>
      </c>
      <c r="O25" s="271">
        <f>O6-O13</f>
        <v>17016305.47970335</v>
      </c>
      <c r="P25" s="271">
        <f>P6-P13</f>
        <v>17610812.095685616</v>
      </c>
      <c r="Q25" s="271">
        <f>Q6-Q13</f>
        <v>18225758.451146662</v>
      </c>
      <c r="R25" s="271">
        <f>R6-R13</f>
        <v>18861838.47904186</v>
      </c>
      <c r="S25" s="271">
        <f>S6-S13</f>
        <v>19519769.433279097</v>
      </c>
      <c r="T25" s="271">
        <f>T6-T13</f>
        <v>20200292.665939286</v>
      </c>
      <c r="U25" s="271">
        <f>U6-U13</f>
        <v>20904174.430218786</v>
      </c>
      <c r="V25" s="271">
        <f>V6-V13</f>
        <v>21632206.70994003</v>
      </c>
      <c r="W25" s="271">
        <f>W6-W13</f>
        <v>22385208.07650417</v>
      </c>
      <c r="X25" s="271">
        <f>X6-X13</f>
        <v>23164024.574188486</v>
      </c>
    </row>
    <row r="26" spans="1:24" ht="24.75">
      <c r="A26" s="268" t="s">
        <v>363</v>
      </c>
      <c r="B26" s="269" t="s">
        <v>364</v>
      </c>
      <c r="C26" s="282">
        <f>zał1!G34</f>
        <v>41627126.7</v>
      </c>
      <c r="D26" s="282">
        <f>zał2!F46</f>
        <v>41627126.7</v>
      </c>
      <c r="E26" s="282">
        <f>zał2!G46</f>
        <v>35772301.2655</v>
      </c>
      <c r="F26" s="282">
        <f>zał2!H46</f>
        <v>29917475.031000003</v>
      </c>
      <c r="G26" s="282">
        <f>zał2!I46</f>
        <v>26464512.796500005</v>
      </c>
      <c r="H26" s="282">
        <f>zał2!J46</f>
        <v>23011550.562000006</v>
      </c>
      <c r="I26" s="282">
        <f>zał2!K46</f>
        <v>19558588.327500008</v>
      </c>
      <c r="J26" s="282">
        <f>zał2!L46</f>
        <v>16105626.093000008</v>
      </c>
      <c r="K26" s="282">
        <f>zał2!M46</f>
        <v>12652654.858500008</v>
      </c>
      <c r="L26" s="282">
        <f>zał2!N46</f>
        <v>10214636.734000009</v>
      </c>
      <c r="M26" s="282">
        <f>zał2!O46</f>
        <v>9324097.339500008</v>
      </c>
      <c r="N26" s="282">
        <f>zał2!P46</f>
        <v>8433557.945000008</v>
      </c>
      <c r="O26" s="282">
        <f>zał2!Q46</f>
        <v>7543018.550500007</v>
      </c>
      <c r="P26" s="282">
        <f>zał2!R46</f>
        <v>6652479.156000007</v>
      </c>
      <c r="Q26" s="282">
        <f>zał2!S46</f>
        <v>5761939.761500007</v>
      </c>
      <c r="R26" s="282">
        <f>zał2!T46</f>
        <v>4871400.367000006</v>
      </c>
      <c r="S26" s="282">
        <f>zał2!U46</f>
        <v>3980860.972500006</v>
      </c>
      <c r="T26" s="282">
        <f>zał2!V46</f>
        <v>3090321.5780000063</v>
      </c>
      <c r="U26" s="282">
        <f>zał2!W46</f>
        <v>2199782.1835000063</v>
      </c>
      <c r="V26" s="282">
        <f>zał2!X46</f>
        <v>1309242.7890000064</v>
      </c>
      <c r="W26" s="282">
        <f>zał2!Y46</f>
        <v>418691.39450000634</v>
      </c>
      <c r="X26" s="282">
        <f>zał2!Z46</f>
        <v>0</v>
      </c>
    </row>
    <row r="27" spans="1:24" ht="72.75">
      <c r="A27" s="268" t="s">
        <v>308</v>
      </c>
      <c r="B27" s="252" t="s">
        <v>365</v>
      </c>
      <c r="C27" s="282">
        <f>zał1!G35</f>
        <v>10316494.2</v>
      </c>
      <c r="D27" s="283">
        <f>zał2!F50</f>
        <v>10316494.2</v>
      </c>
      <c r="E27" s="283">
        <f>zał2!G50</f>
        <v>9101058.95</v>
      </c>
      <c r="F27" s="283">
        <f>zał2!H50</f>
        <v>7885623.699999999</v>
      </c>
      <c r="G27" s="283">
        <f>zał2!I50</f>
        <v>6893905.449999999</v>
      </c>
      <c r="H27" s="283">
        <f>zał2!J50</f>
        <v>5902187.199999999</v>
      </c>
      <c r="I27" s="283">
        <f>zał2!K50</f>
        <v>4910468.949999999</v>
      </c>
      <c r="J27" s="283">
        <f>zał2!L50</f>
        <v>3918750.6999999993</v>
      </c>
      <c r="K27" s="283">
        <f>zał2!M50</f>
        <v>2927029.4499999993</v>
      </c>
      <c r="L27" s="283">
        <f>zał2!N50</f>
        <v>2406726.1999999993</v>
      </c>
      <c r="M27" s="283">
        <f>zał2!O50</f>
        <v>2199903.849999999</v>
      </c>
      <c r="N27" s="283">
        <f>zał2!P50</f>
        <v>1993081.499999999</v>
      </c>
      <c r="O27" s="283">
        <f>zał2!Q50</f>
        <v>1786259.149999999</v>
      </c>
      <c r="P27" s="283">
        <f>zał2!R50</f>
        <v>1579436.7999999989</v>
      </c>
      <c r="Q27" s="283">
        <f>zał2!S50</f>
        <v>1372614.4499999988</v>
      </c>
      <c r="R27" s="283">
        <f>zał2!T50</f>
        <v>1165792.0999999987</v>
      </c>
      <c r="S27" s="283">
        <f>zał2!U50</f>
        <v>958969.7499999987</v>
      </c>
      <c r="T27" s="283">
        <f>zał2!V50</f>
        <v>752147.3999999987</v>
      </c>
      <c r="U27" s="283">
        <f>zał2!W50</f>
        <v>545325.0499999988</v>
      </c>
      <c r="V27" s="283">
        <f>zał2!X50</f>
        <v>338502.6999999988</v>
      </c>
      <c r="W27" s="283">
        <f>zał2!Y50</f>
        <v>131634.34999999878</v>
      </c>
      <c r="X27" s="284">
        <f>zał2!Z50</f>
        <v>-1.2223608791828156E-09</v>
      </c>
    </row>
    <row r="28" spans="1:24" ht="24.75">
      <c r="A28" s="268" t="s">
        <v>366</v>
      </c>
      <c r="B28" s="269" t="s">
        <v>367</v>
      </c>
      <c r="C28" s="285">
        <f>C26/C6</f>
        <v>0.572791512288785</v>
      </c>
      <c r="D28" s="285">
        <f>D26/D6</f>
        <v>0.4631985817176107</v>
      </c>
      <c r="E28" s="285">
        <f>E26/E6</f>
        <v>0.5106402145692357</v>
      </c>
      <c r="F28" s="285">
        <f>F26/F6</f>
        <v>0.4433983283737442</v>
      </c>
      <c r="G28" s="285">
        <f>G26/G6</f>
        <v>0.3804495559893978</v>
      </c>
      <c r="H28" s="285">
        <f>H26/H6</f>
        <v>0.3208803369160315</v>
      </c>
      <c r="I28" s="285">
        <f>I26/I6</f>
        <v>0.2645445079835406</v>
      </c>
      <c r="J28" s="285">
        <f>J26/J6</f>
        <v>0.21130163532112609</v>
      </c>
      <c r="K28" s="285">
        <f>K26/K6</f>
        <v>0.16101668758620027</v>
      </c>
      <c r="L28" s="285">
        <f>L26/L6</f>
        <v>0.1260886843231241</v>
      </c>
      <c r="M28" s="285">
        <f>M26/M6</f>
        <v>0.11164105317690275</v>
      </c>
      <c r="N28" s="285">
        <f>N26/N6</f>
        <v>0.09794716671907808</v>
      </c>
      <c r="O28" s="285">
        <f>O26/O6</f>
        <v>0.084974793569359</v>
      </c>
      <c r="P28" s="285">
        <f>P26/P6</f>
        <v>0.07269295810238871</v>
      </c>
      <c r="Q28" s="285">
        <f>Q26/Q6</f>
        <v>0.06107189410481373</v>
      </c>
      <c r="R28" s="285">
        <f>R26/R6</f>
        <v>0.0500830000828822</v>
      </c>
      <c r="S28" s="285">
        <f>S26/S6</f>
        <v>0.039698796163245814</v>
      </c>
      <c r="T28" s="285">
        <f>T26/T6</f>
        <v>0.029892882531593685</v>
      </c>
      <c r="U28" s="285">
        <f>U26/U6</f>
        <v>0.02063989935563487</v>
      </c>
      <c r="V28" s="285">
        <f>V26/V6</f>
        <v>0.011915488140771445</v>
      </c>
      <c r="W28" s="285">
        <f>W26/W6</f>
        <v>0.0036961485342612275</v>
      </c>
      <c r="X28" s="285">
        <f>X26/X6</f>
        <v>0</v>
      </c>
    </row>
    <row r="29" spans="1:24" ht="48.75">
      <c r="A29" s="268" t="s">
        <v>368</v>
      </c>
      <c r="B29" s="269" t="s">
        <v>369</v>
      </c>
      <c r="C29" s="285">
        <f>C14/C6</f>
        <v>0.1313240462675008</v>
      </c>
      <c r="D29" s="285">
        <f>D14/D6</f>
        <v>0.11876351107174152</v>
      </c>
      <c r="E29" s="285">
        <f>E14/E6</f>
        <v>0.1284892473711673</v>
      </c>
      <c r="F29" s="285">
        <f>F14/F6</f>
        <v>0.11337660236553672</v>
      </c>
      <c r="G29" s="285">
        <f>G14/G6</f>
        <v>0.07246620001225054</v>
      </c>
      <c r="H29" s="285">
        <f>H14/H6</f>
        <v>0.06740201738355087</v>
      </c>
      <c r="I29" s="285">
        <f>I14/I6</f>
        <v>0.06257656240188665</v>
      </c>
      <c r="J29" s="285">
        <f>J14/J6</f>
        <v>0.05798006667602259</v>
      </c>
      <c r="K29" s="285">
        <f>K14/K6</f>
        <v>0.05360324078730574</v>
      </c>
      <c r="L29" s="285">
        <f>L14/L6</f>
        <v>0.037660027868775516</v>
      </c>
      <c r="M29" s="285">
        <f>M14/M6</f>
        <v>0.01736123860763191</v>
      </c>
      <c r="N29" s="285">
        <f>N14/N6</f>
        <v>0.01621953602495032</v>
      </c>
      <c r="O29" s="285">
        <f>O14/O6</f>
        <v>0.015130731430929465</v>
      </c>
      <c r="P29" s="285">
        <f>P14/P6</f>
        <v>0.014092677933790492</v>
      </c>
      <c r="Q29" s="285">
        <f>Q14/Q6</f>
        <v>0.013103309860805023</v>
      </c>
      <c r="R29" s="285">
        <f>R14/R6</f>
        <v>0.01216063981702412</v>
      </c>
      <c r="S29" s="285">
        <f>S14/S6</f>
        <v>0.011262755847393684</v>
      </c>
      <c r="T29" s="285">
        <f>T14/T6</f>
        <v>0.010407818698700232</v>
      </c>
      <c r="U29" s="285">
        <f>U14/U6</f>
        <v>0.009594059177911096</v>
      </c>
      <c r="V29" s="285">
        <f>V14/V6</f>
        <v>0.008819775603589507</v>
      </c>
      <c r="W29" s="285">
        <f>W14/W6</f>
        <v>0.008083430925425326</v>
      </c>
      <c r="X29" s="285">
        <f>X14/X6</f>
        <v>0.0035851978523029383</v>
      </c>
    </row>
    <row r="30" spans="1:24" ht="36.75">
      <c r="A30" s="268" t="s">
        <v>370</v>
      </c>
      <c r="B30" s="269" t="s">
        <v>371</v>
      </c>
      <c r="C30" s="285">
        <f>(C26-C27)/C6</f>
        <v>0.43083599475035067</v>
      </c>
      <c r="D30" s="285">
        <f>(D26-D27)/D6</f>
        <v>0.3484035943965676</v>
      </c>
      <c r="E30" s="285">
        <f>(E26-E27)/E6</f>
        <v>0.38072498600893795</v>
      </c>
      <c r="F30" s="285">
        <f>(F26-F27)/F6</f>
        <v>0.32652775814208557</v>
      </c>
      <c r="G30" s="285">
        <f>(G26-G27)/G6</f>
        <v>0.2813438861569927</v>
      </c>
      <c r="H30" s="285">
        <f>(H26-H27)/H6</f>
        <v>0.23857837242325358</v>
      </c>
      <c r="I30" s="285">
        <f>(I26-I27)/I6</f>
        <v>0.19812674967734864</v>
      </c>
      <c r="J30" s="285">
        <f>(J26-J27)/J6</f>
        <v>0.15988864295781163</v>
      </c>
      <c r="K30" s="285">
        <f>(K26-K27)/K6</f>
        <v>0.12376754171310003</v>
      </c>
      <c r="L30" s="285">
        <f>(L26-L27)/L6</f>
        <v>0.09638024260498598</v>
      </c>
      <c r="M30" s="285">
        <f>(M26-M27)/M6</f>
        <v>0.08530074657569635</v>
      </c>
      <c r="N30" s="285">
        <f>(N26-N27)/N6</f>
        <v>0.07479955959545026</v>
      </c>
      <c r="O30" s="285">
        <f>(O26-O27)/O6</f>
        <v>0.06485194732200793</v>
      </c>
      <c r="P30" s="285">
        <f>(P26-P27)/P6</f>
        <v>0.05543413918159318</v>
      </c>
      <c r="Q30" s="285">
        <f>(Q26-Q27)/Q6</f>
        <v>0.04652329279918083</v>
      </c>
      <c r="R30" s="285">
        <f>(R26-R27)/R6</f>
        <v>0.038097459695677294</v>
      </c>
      <c r="S30" s="285">
        <f>(S26-S27)/S6</f>
        <v>0.03013555220799144</v>
      </c>
      <c r="T30" s="285">
        <f>(T26-T27)/T6</f>
        <v>0.022617311589493004</v>
      </c>
      <c r="U30" s="285">
        <f>(U26-U27)/U6</f>
        <v>0.015523277249805137</v>
      </c>
      <c r="V30" s="285">
        <f>(V26-V27)/V6</f>
        <v>0.008834757094278677</v>
      </c>
      <c r="W30" s="285">
        <f>(W26-W27)/W6</f>
        <v>0.00253409907205066</v>
      </c>
      <c r="X30" s="285">
        <f>(X26-X27)/X6</f>
        <v>1.0466911086192294E-17</v>
      </c>
    </row>
    <row r="31" spans="1:24" ht="48.75">
      <c r="A31" s="268" t="s">
        <v>372</v>
      </c>
      <c r="B31" s="269" t="s">
        <v>373</v>
      </c>
      <c r="C31" s="285">
        <f>(C14-C21-C17+C23)/C6</f>
        <v>0.12055639256748715</v>
      </c>
      <c r="D31" s="285">
        <f>(D14-D21-D17)/D6</f>
        <v>0.10489934328710145</v>
      </c>
      <c r="E31" s="285">
        <f>(E14-E21-E17)/E6</f>
        <v>0.11113922808533543</v>
      </c>
      <c r="F31" s="285">
        <f>(F14-F21-F17)/F6</f>
        <v>0.09536298465421245</v>
      </c>
      <c r="G31" s="285">
        <f>(G14-G21-G17)/G6</f>
        <v>0.05820941883587532</v>
      </c>
      <c r="H31" s="285">
        <f>(H14-H21-H17)/H6</f>
        <v>0.05357318454030594</v>
      </c>
      <c r="I31" s="285">
        <f>(I14-I21-I17)/I6</f>
        <v>0.049162832734307826</v>
      </c>
      <c r="J31" s="285">
        <f>(J14-J21-J17)/J6</f>
        <v>0.04496898056283617</v>
      </c>
      <c r="K31" s="285">
        <f>(K14-K21-K17)/K6</f>
        <v>0.04098267439474575</v>
      </c>
      <c r="L31" s="285">
        <f>(L14-L21-L17)/L6</f>
        <v>0.031237444868522785</v>
      </c>
      <c r="M31" s="285">
        <f>(M14-M21-M17)/M6</f>
        <v>0.014884873965158096</v>
      </c>
      <c r="N31" s="285">
        <f>(N14-N21-N17)/N6</f>
        <v>0.013817505549936904</v>
      </c>
      <c r="O31" s="285">
        <f>(O14-O21-O17)/O6</f>
        <v>0.012800803911976891</v>
      </c>
      <c r="P31" s="285">
        <f>(P14-P21-P17)/P6</f>
        <v>0.011832689128019092</v>
      </c>
      <c r="Q31" s="285">
        <f>(Q14-Q21-Q17)/Q6</f>
        <v>0.010911160483939532</v>
      </c>
      <c r="R31" s="285">
        <f>(R14-R21-R17)/R6</f>
        <v>0.010034293593798186</v>
      </c>
      <c r="S31" s="285">
        <f>(S14-S21-S17)/S6</f>
        <v>0.009200237620464203</v>
      </c>
      <c r="T31" s="285">
        <f>(T14-T21-T17)/T6</f>
        <v>0.008407212594315667</v>
      </c>
      <c r="U31" s="285">
        <f>(U14-U21-U17)/U6</f>
        <v>0.0076535068266305965</v>
      </c>
      <c r="V31" s="285">
        <f>(V14-V21-V17)/V6</f>
        <v>0.0069374744144007775</v>
      </c>
      <c r="W31" s="285">
        <f>(W14-W21-W17)/W6</f>
        <v>0.006257226330151451</v>
      </c>
      <c r="X31" s="285">
        <f>(X14-X21-X17)/X6</f>
        <v>0.002458030695039349</v>
      </c>
    </row>
    <row r="36" spans="1:25" ht="12.75">
      <c r="A36" s="286"/>
      <c r="B36" s="286"/>
      <c r="C36" s="286"/>
      <c r="D36" s="287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25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1:25" ht="17.25">
      <c r="A38" s="286"/>
      <c r="B38" s="288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25" ht="12.75">
      <c r="A39" s="286"/>
      <c r="B39" s="286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6"/>
    </row>
    <row r="40" spans="1:25" ht="12.75">
      <c r="A40" s="286"/>
      <c r="B40" s="286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6"/>
    </row>
    <row r="41" spans="1:25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</row>
    <row r="42" spans="1:25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</row>
    <row r="43" spans="1:25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</row>
    <row r="44" spans="1:25" ht="12.75">
      <c r="A44" s="286"/>
      <c r="B44" s="289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</row>
    <row r="45" spans="1:25" ht="12.75">
      <c r="A45" s="286"/>
      <c r="B45" s="289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</row>
    <row r="46" spans="1:25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</row>
    <row r="47" spans="1:25" ht="12.75">
      <c r="A47" s="286"/>
      <c r="B47" s="289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</row>
    <row r="48" spans="1:25" ht="12.75">
      <c r="A48" s="286"/>
      <c r="B48" s="289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</row>
    <row r="49" spans="1:25" ht="12.7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90"/>
    </row>
    <row r="50" spans="1:25" ht="12.75">
      <c r="A50" s="286"/>
      <c r="B50" s="286"/>
      <c r="C50" s="286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</row>
    <row r="51" spans="1:25" ht="12.75">
      <c r="A51" s="286"/>
      <c r="B51" s="286"/>
      <c r="C51" s="286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</row>
    <row r="52" spans="1:25" ht="12.75">
      <c r="A52" s="286"/>
      <c r="B52" s="286"/>
      <c r="C52" s="286"/>
      <c r="D52" s="163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</row>
    <row r="53" spans="1:25" ht="12.75">
      <c r="A53" s="286"/>
      <c r="B53" s="286"/>
      <c r="C53" s="286"/>
      <c r="D53" s="163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</row>
    <row r="54" spans="1:25" ht="12.75">
      <c r="A54" s="286"/>
      <c r="B54" s="286"/>
      <c r="C54" s="286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6"/>
    </row>
    <row r="55" spans="1:25" ht="12.75">
      <c r="A55" s="286"/>
      <c r="B55" s="291"/>
      <c r="C55" s="286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6"/>
    </row>
    <row r="56" spans="1:25" ht="12.75">
      <c r="A56" s="286"/>
      <c r="B56" s="286"/>
      <c r="C56" s="286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6"/>
    </row>
    <row r="57" spans="1:25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</row>
    <row r="58" spans="1:25" ht="12.75">
      <c r="A58" s="286"/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86"/>
    </row>
    <row r="59" spans="1:25" ht="12.75">
      <c r="A59" s="286"/>
      <c r="B59" s="286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86"/>
    </row>
    <row r="60" spans="1:25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</row>
    <row r="61" spans="1:25" ht="12.7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</row>
    <row r="62" spans="1:25" ht="12.75">
      <c r="A62" s="286"/>
      <c r="B62" s="286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</row>
    <row r="63" spans="1:25" ht="12.75">
      <c r="A63" s="286"/>
      <c r="B63" s="286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</row>
    <row r="64" spans="1:25" ht="12.75">
      <c r="A64" s="286"/>
      <c r="B64" s="286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</row>
    <row r="65" spans="1:25" ht="12.75">
      <c r="A65" s="286"/>
      <c r="B65" s="286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</row>
    <row r="66" spans="1:25" ht="12.75">
      <c r="A66" s="286"/>
      <c r="B66" s="286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</row>
    <row r="67" spans="1:25" ht="12.75">
      <c r="A67" s="286"/>
      <c r="B67" s="286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</row>
    <row r="68" spans="1:25" ht="12.7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</row>
    <row r="69" spans="1:25" ht="12.75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2012-07-11T08:56:02Z</cp:lastPrinted>
  <dcterms:created xsi:type="dcterms:W3CDTF">2010-07-08T12:34:26Z</dcterms:created>
  <dcterms:modified xsi:type="dcterms:W3CDTF">2012-07-12T13:22:28Z</dcterms:modified>
  <cp:category/>
  <cp:version/>
  <cp:contentType/>
  <cp:contentStatus/>
  <cp:revision>147</cp:revision>
</cp:coreProperties>
</file>