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7" activeTab="2"/>
  </bookViews>
  <sheets>
    <sheet name="zał1" sheetId="1" r:id="rId1"/>
    <sheet name="zał2" sheetId="2" r:id="rId2"/>
    <sheet name="zał3" sheetId="3" r:id="rId3"/>
    <sheet name="Uchwała " sheetId="4" r:id="rId4"/>
    <sheet name="Objaśnienia do uchwały" sheetId="5" r:id="rId5"/>
    <sheet name="Zarządzenie" sheetId="6" r:id="rId6"/>
    <sheet name="Ogółem Zmiany w paragrafach " sheetId="7" r:id="rId7"/>
    <sheet name="zał 12 do budzetu" sheetId="8" r:id="rId8"/>
    <sheet name="zał 13 do budzetu" sheetId="9" r:id="rId9"/>
    <sheet name="Sytuacja fin. do RIO - kredyt" sheetId="10" r:id="rId10"/>
  </sheets>
  <definedNames>
    <definedName name="_xlnm.Print_Area" localSheetId="4">'Objaśnienia do uchwały'!$A$1:$D$36</definedName>
    <definedName name="_xlnm.Print_Area" localSheetId="6">'Ogółem Zmiany w paragrafach '!$A$1:$I$66</definedName>
    <definedName name="_xlnm.Print_Area" localSheetId="3">'Uchwała '!$A$1:$G$34</definedName>
    <definedName name="_xlnm.Print_Area" localSheetId="0">'zał1'!$A$1:$AA$50</definedName>
    <definedName name="_xlnm.Print_Area" localSheetId="1">'zał2'!$A$1:$Z$60</definedName>
    <definedName name="_xlnm.Print_Area" localSheetId="2">'zał3'!$C$1:$L$86</definedName>
    <definedName name="Excel_BuiltIn_Print_Area_3_1">'zał3'!$A$1:$L$91</definedName>
    <definedName name="Excel_BuiltIn_Print_Area_6_1">'Ogółem Zmiany w paragrafach '!$A$1:$K$66</definedName>
    <definedName name="Excel_BuiltIn_Print_Area_1_1">'zał1'!$A$1:$Z$50</definedName>
    <definedName name="Excel_BuiltIn_Print_Area_6_1_1">'Ogółem Zmiany w paragrafach '!$A$1:$J$66</definedName>
    <definedName name="Excel_BuiltIn_Print_Area_1_1_1">'zał1'!$A$1:$Z$48</definedName>
    <definedName name="Excel_BuiltIn_Print_Area_2_1">'zał2'!$A$1:$Z$57</definedName>
    <definedName name="Excel_BuiltIn_Print_Area_1_1_1_1">'zał1'!$A$1:$Z$49</definedName>
  </definedNames>
  <calcPr fullCalcOnLoad="1"/>
</workbook>
</file>

<file path=xl/sharedStrings.xml><?xml version="1.0" encoding="utf-8"?>
<sst xmlns="http://schemas.openxmlformats.org/spreadsheetml/2006/main" count="653" uniqueCount="460">
  <si>
    <t>Wieloletnia Prognoza Finansowa  dla Gminy Gołdap na lata 2012–2032</t>
  </si>
  <si>
    <t xml:space="preserve">Załącznik nr 1 </t>
  </si>
  <si>
    <t>Lp</t>
  </si>
  <si>
    <t>Wyszczególnienie</t>
  </si>
  <si>
    <t>Lata objęte prognozą finansową</t>
  </si>
  <si>
    <t>Dochody ogółem, z tego:</t>
  </si>
  <si>
    <t>a</t>
  </si>
  <si>
    <t>dochody bieżące</t>
  </si>
  <si>
    <t>b</t>
  </si>
  <si>
    <t>dochody majątkowe, w tym:</t>
  </si>
  <si>
    <t>c</t>
  </si>
  <si>
    <t xml:space="preserve">   - ze sprzedaży majątku</t>
  </si>
  <si>
    <t>d</t>
  </si>
  <si>
    <t xml:space="preserve">   - z przekształcenia prawa użytkowania wieczystego przysługującego osobom fizycznym w prawo własności</t>
  </si>
  <si>
    <t>X</t>
  </si>
  <si>
    <t>Wydatki bieżące (bez odsetek i prowizji od kredytów oraz wyemitowanych papierów wartościowych, czyli kosztów obsługi długu), w tym:</t>
  </si>
  <si>
    <t>na wynagrodzenia i składki od nich naliczane</t>
  </si>
  <si>
    <t>na funkcjonowanie organów JST</t>
  </si>
  <si>
    <t>z tytułu gwarancji i poręczeń, w tym:</t>
  </si>
  <si>
    <t>gwarancje i poręczenia podlegające wyłączeniu z limitów spłaty zobowiązań</t>
  </si>
  <si>
    <t>e</t>
  </si>
  <si>
    <t>wydatki bieżące objęte limitem na przedsięwzięcia</t>
  </si>
  <si>
    <t>Wynik budżetu po zaplanowaniu wydatków bieżących (bez obsługi długu)  poz.1– poz. 2</t>
  </si>
  <si>
    <t>Nadwyżka budżetowa z lat ubiegłych + wolne środki, w tym:</t>
  </si>
  <si>
    <t>nadwyżka budżetowa z lat ubiegłych + wolne środki angażowane na pokrycie deficytu budżetu roku bieżącego</t>
  </si>
  <si>
    <t>Inne przychody niezwiązane z zaciągnięciem długu</t>
  </si>
  <si>
    <t>Środki do dyspozycji (suma poz. 3 +poz. 4+ poz. 5)</t>
  </si>
  <si>
    <t>Spłata i obsługa długu, z tego:</t>
  </si>
  <si>
    <t xml:space="preserve">rozchody z tytułu spłaty rat kapitałowych oraz wykupu papierów wartościowych </t>
  </si>
  <si>
    <t>wydatki bieżące na obsługę długu:</t>
  </si>
  <si>
    <t>Inne rozchody (bez spłaty długu)</t>
  </si>
  <si>
    <t>Środki do dyspozycji na wydatki majątkowe (poz. 6–poz. 7–poz. 8)</t>
  </si>
  <si>
    <t>Wydatki majątkowe, w tym:</t>
  </si>
  <si>
    <t>wydatki majątkowe objęte limitem</t>
  </si>
  <si>
    <t>Przychody z kredytów, pożyczek i emisji obligacji w tym:</t>
  </si>
  <si>
    <t>11a</t>
  </si>
  <si>
    <t>na pokrycie deficytu budżetu roku bieżącego</t>
  </si>
  <si>
    <t>Wynik finansowy budżetu (poz. 9 – poz.10 + poz. 11)</t>
  </si>
  <si>
    <t>Kwota długu na koniec roku, w tym:</t>
  </si>
  <si>
    <t>łączna kwota wyłączeń z art. 243 ust. 3 pkt 1 ufp oraz art. 170 ust. 3 sufp</t>
  </si>
  <si>
    <t>kwota wyłączeń z art. 243 ust. 3 pkt 1 ufp oraz art. 169 ust. 3 sufat przypadająca na dany rok budżetowy</t>
  </si>
  <si>
    <t>Kwota zobowiązań związku współtworzonego przez jst przypadających do spłaty w danym roku budżetowym podlegających do doliczenia z art. 244 ufp</t>
  </si>
  <si>
    <t>Planowana łączna kwota spłaty zobowiązań</t>
  </si>
  <si>
    <t xml:space="preserve">Maksymalny dopuszczalny wskaźnik spłaty z art.. 243 </t>
  </si>
  <si>
    <t>x</t>
  </si>
  <si>
    <t>Spełnienie wskaźnika spłaty z art. 243 po uwzględnieniu art.. 244</t>
  </si>
  <si>
    <t>Planowana łaczna kwota spłaty zobowiązań/dochody ogółem /max 15% art.. 169 sufp/</t>
  </si>
  <si>
    <t>Zadłuzenie/dochody ogółem (poz. 13-poz. 13a):poz. 1 /max. 60% art.. 170 sufp/</t>
  </si>
  <si>
    <t>Wydatki bieżące razem (poz. 2 + poz. 7b)</t>
  </si>
  <si>
    <t>Wydatki ogółem (poz. 10+ poz. 19)</t>
  </si>
  <si>
    <t>Wynik budżetu (poz. 1 – poz. 20)</t>
  </si>
  <si>
    <t>Przychody budżetu</t>
  </si>
  <si>
    <t>Rozchody budżetu (poz. 7a + poz. 8)</t>
  </si>
  <si>
    <t>Sporządził Piotr Komocki</t>
  </si>
  <si>
    <t>wyd bieżące z zał nr 2</t>
  </si>
  <si>
    <t xml:space="preserve">odsetki </t>
  </si>
  <si>
    <t xml:space="preserve">Prowizje  od kredytu </t>
  </si>
  <si>
    <t>Odsetki + prowizje</t>
  </si>
  <si>
    <t>Wyd – odsetki  WIERSZ 10</t>
  </si>
  <si>
    <t>nadwyżka z roku bieżącego (zał2)</t>
  </si>
  <si>
    <t>wolne środki</t>
  </si>
  <si>
    <t xml:space="preserve">Załącznik nr 2 </t>
  </si>
  <si>
    <t>Prognoza kwoty długu i spłat zobowiązań  na lata 2012-2032</t>
  </si>
  <si>
    <t>Burmistrza Gołdapi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</si>
  <si>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</si>
  <si>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Wykonanie na 31.12.2008 r.</t>
  </si>
  <si>
    <t>Wykonanie na 31.12.2009 r.</t>
  </si>
  <si>
    <t>Wykonanie na 31.12.2010 r.</t>
  </si>
  <si>
    <t>Wykonanie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</si>
  <si>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</si>
  <si>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</si>
  <si>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</si>
  <si>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</si>
  <si>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</si>
  <si>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</si>
  <si>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</si>
  <si>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</si>
  <si>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</si>
  <si>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</si>
  <si>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</si>
  <si>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</si>
  <si>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</si>
  <si>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</si>
  <si>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Plan na 31.12.2026 r.</t>
  </si>
  <si>
    <t>Plan na 31.12.2027 r.</t>
  </si>
  <si>
    <t>Plan na 31.12.2028 r.</t>
  </si>
  <si>
    <t>Plan na 31.12.2029 r.</t>
  </si>
  <si>
    <t>Plan na 31.12.2030 r.</t>
  </si>
  <si>
    <t>z dnia 26 lipca  2031 r</t>
  </si>
  <si>
    <t>Plan na 31.12.2032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</si>
  <si>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</si>
  <si>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</si>
  <si>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</si>
  <si>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</si>
  <si>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</si>
  <si>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</si>
  <si>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</si>
  <si>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</si>
  <si>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</si>
  <si>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</si>
  <si>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</si>
  <si>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</si>
  <si>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</si>
  <si>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</si>
  <si>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</si>
  <si>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</si>
  <si>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</si>
  <si>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</si>
  <si>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</si>
  <si>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</si>
  <si>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</si>
  <si>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</si>
  <si>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</si>
  <si>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</si>
  <si>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</si>
  <si>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</si>
  <si>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</si>
  <si>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 xml:space="preserve">  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</si>
  <si>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</si>
  <si>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</si>
  <si>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</si>
  <si>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</si>
  <si>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</si>
  <si>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</si>
  <si>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</si>
  <si>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</si>
  <si>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</si>
  <si>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</si>
  <si>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</si>
  <si>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</si>
  <si>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</si>
  <si>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</si>
  <si>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</si>
  <si>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</si>
  <si>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</si>
  <si>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</si>
  <si>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</si>
  <si>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</si>
  <si>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L. Czy spełniony jest warunek, o którym mowa w art. 243 ustawy z 27 sierpnia 2009r. dla danego roku</t>
  </si>
  <si>
    <t>*  Kredyty, pożyczki i papiery wartościowe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 **  Wolne środki - nadwyżki środków pieniężnych na rachunku bieżącym budżetu j.s.t. wynikające z rozliczeń wyemitowanych papierów wartościowych, kredytów i pożyczek z lat ubiegłych.</t>
  </si>
  <si>
    <t>Dochody bieżące-wydatki bieżące+ wolne śr.</t>
  </si>
  <si>
    <t>Na 31.12.2010</t>
  </si>
  <si>
    <t>Spłaty kredytów zaciągniętych do 2010 włącznie</t>
  </si>
  <si>
    <t>W 2011 na 21 lat</t>
  </si>
  <si>
    <t>W 2012 na 20 lat</t>
  </si>
  <si>
    <t>w tym :</t>
  </si>
  <si>
    <t>Na 31.12.2009</t>
  </si>
  <si>
    <t xml:space="preserve">Spłaty kredytów   U.E. zaciągniętych do 2010 </t>
  </si>
  <si>
    <t>W 2010 na 10 lat</t>
  </si>
  <si>
    <t xml:space="preserve">Załącznik nr 3 </t>
  </si>
  <si>
    <t xml:space="preserve">Do Zarządzenia Nr </t>
  </si>
  <si>
    <t>471/VII/2012</t>
  </si>
  <si>
    <t>z dnia  26 lipca 2012r.</t>
  </si>
  <si>
    <t>Wykaz przedsięwzięć realizowanych przez Gminę Gołdap w latach 2012- 2015</t>
  </si>
  <si>
    <t xml:space="preserve">Nazwa i cel </t>
  </si>
  <si>
    <t>jednostka odpowiedzialna</t>
  </si>
  <si>
    <t>okres realizacji 
(w wierszu program/umowa)</t>
  </si>
  <si>
    <t>łączne nakłady finansowe</t>
  </si>
  <si>
    <t>limity wydatków w poszczególnych latach (wszystkie lata)</t>
  </si>
  <si>
    <t>Limit zobowiązań</t>
  </si>
  <si>
    <t>Od</t>
  </si>
  <si>
    <t>Do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</si>
  <si>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</si>
  <si>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</si>
  <si>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</si>
  <si>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</si>
  <si>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</si>
  <si>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</si>
  <si>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</si>
  <si>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r>
      <t xml:space="preserve">Program nr 1 
Modernizacja ujęcia wodnego w Gołdapi MASTERPLAN II  dla wielkich jezior Mazurskich, 
</t>
    </r>
    <r>
      <rPr>
        <sz val="11"/>
        <color indexed="8"/>
        <rFont val="Arial"/>
        <family val="2"/>
      </rPr>
      <t>Cel:
Modernizacja systemu zbiorowego zaopatrzenia w wodę</t>
    </r>
  </si>
  <si>
    <t>Wydział Infrastruktury Komunalnej w Urzędzie Miejskim w Gołdapi</t>
  </si>
  <si>
    <r>
      <t xml:space="preserve">Program nr 2 
Budowa wodociągów wiejskich w Gminie Gołdap
Pogorzel-Kozaki, Galwiecie-Botkuny, Grabowo-Kolonia
</t>
    </r>
    <r>
      <rPr>
        <sz val="11"/>
        <color indexed="8"/>
        <rFont val="Arial"/>
        <family val="2"/>
      </rPr>
      <t xml:space="preserve">Cel:
Poprawa infrastruktury warunkującej rozwój gospodarczy oraz lepsze warunki życia mieszkańców jedenastu miejscowości w Gminie Gołdap </t>
    </r>
  </si>
  <si>
    <r>
      <t>Program nr 3</t>
    </r>
    <r>
      <rPr>
        <sz val="11"/>
        <color indexed="8"/>
        <rFont val="Arial"/>
        <family val="2"/>
      </rPr>
      <t xml:space="preserve"> 
</t>
    </r>
    <r>
      <rPr>
        <b/>
        <sz val="11"/>
        <color indexed="8"/>
        <rFont val="Arial"/>
        <family val="2"/>
      </rPr>
      <t xml:space="preserve">Budowa pijalni wód mineralnych w uzdrowisku Gołdap z wykonaniem podziemnego ujęcia wód leczniczych,
</t>
    </r>
    <r>
      <rPr>
        <sz val="11"/>
        <color indexed="8"/>
        <rFont val="Arial"/>
        <family val="2"/>
      </rPr>
      <t>Cel:
Pełne wykorzystanie naturalnych walorów środowiska gminy dla zapewnienia wzrostu zamożności społeczeństwa. Rozwój infrastruktury uzdrowiskowej</t>
    </r>
  </si>
  <si>
    <r>
      <t xml:space="preserve">Program nr 4 
Rozwój funkcji uzdrowiskowej poprzez urządzenie plaży i budowę parku zdrojowego i kinezyterapeutycznego w Gołdapi
</t>
    </r>
    <r>
      <rPr>
        <sz val="11"/>
        <color indexed="8"/>
        <rFont val="Arial"/>
        <family val="2"/>
      </rPr>
      <t>Cel:
Pełne wykorzystanie naturalnych  walorów środowiska gminy dla zapewnienia wzrostu zamożności społeczeństwa. Rozwój infrastruktury uzdrowiskowej</t>
    </r>
  </si>
  <si>
    <r>
      <t xml:space="preserve">Program nr 5 
Wykonanie odwiertu solankowego i budowa tężni iw parku zdrojowym w Gołdapi
</t>
    </r>
    <r>
      <rPr>
        <sz val="11"/>
        <color indexed="8"/>
        <rFont val="Arial"/>
        <family val="2"/>
      </rPr>
      <t>Cel:
Pełne wykorzystanie naturalnych  walorów środowiska gminy dla zapewnienia wzrostu zamożności społeczeństwa. Rozwój infrastruktury uzdrowiskowej</t>
    </r>
  </si>
  <si>
    <r>
      <t xml:space="preserve">Program nr 7 Odnowa wsi Galwiecie
</t>
    </r>
    <r>
      <rPr>
        <sz val="11"/>
        <color indexed="8"/>
        <rFont val="Arial"/>
        <family val="2"/>
      </rPr>
      <t>Cel: 
Stworzenie infrastruktury społecznej, która podniesie standard życia mieszkańców, wpłynie na atrakcyjność zamieszkania, stworzy warunki rozwoju ludności oraz zaktywizuje ich zawodowo</t>
    </r>
  </si>
  <si>
    <r>
      <t xml:space="preserve">Program nr 8 Odnowa i rozwój wsi Wronki Wielkie, Rożyńsk Mały
</t>
    </r>
    <r>
      <rPr>
        <sz val="11"/>
        <color indexed="8"/>
        <rFont val="Arial"/>
        <family val="2"/>
      </rPr>
      <t>Cel: 
Stworzenie infrastruktury społecznej, która podniesie standard życia mieszkańców, wpłynie na atrakcyjność zamieszkania, stworzy warunki rozwoju ludności oraz zaktywizuje ich zawodowo</t>
    </r>
  </si>
  <si>
    <r>
      <t xml:space="preserve">Program nr 9 
Modernizacja i rozbudowa regionalnego systemu informacji turystycznej
</t>
    </r>
    <r>
      <rPr>
        <sz val="11"/>
        <color indexed="8"/>
        <rFont val="Arial"/>
        <family val="2"/>
      </rPr>
      <t>Cel:
W ramach projektu zmodernizowany zostanie regionalny system informacji turystycznej, którego zadaniem będzie ukierunkowywanie ruchu turystycznego na wskazane i promowane zasoby turystyczne Warmii i Mazur.</t>
    </r>
  </si>
  <si>
    <t>Urząd Miejski</t>
  </si>
  <si>
    <r>
      <t xml:space="preserve">Program nr 10
Wsparcie na starcie oddziałów przedszkolnych z terenów wiejskich Gminy Gołdap
</t>
    </r>
    <r>
      <rPr>
        <sz val="11"/>
        <color indexed="8"/>
        <rFont val="Arial"/>
        <family val="2"/>
      </rPr>
      <t>Cel:
Wyrównanie szans edukacyjnych i zapewnienie wysokiej jakości usług edukacyjnych świadczonych w systemie oświaty</t>
    </r>
  </si>
  <si>
    <t>Szkoła Podstawowa w Boćwince</t>
  </si>
  <si>
    <r>
      <t xml:space="preserve">Program nr 11
Mały Archimedes
</t>
    </r>
    <r>
      <rPr>
        <sz val="11"/>
        <color indexed="8"/>
        <rFont val="Arial"/>
        <family val="2"/>
      </rPr>
      <t>Cel:
Program rozwijania umiejętności uczniów w zakresie kompetencji kluczowych nauk matematyczno-przyrodniczych i przedsiębiorczości</t>
    </r>
  </si>
  <si>
    <t>Gimnazjum</t>
  </si>
  <si>
    <r>
      <t xml:space="preserve">Program nr 12
Platforma współpracy EGO SA Lider Ełk
</t>
    </r>
    <r>
      <rPr>
        <sz val="11"/>
        <color indexed="8"/>
        <rFont val="Arial"/>
        <family val="2"/>
      </rPr>
      <t>Cel:
Rozwój stałej i trwałej struktury współpracy w Polsce Północno-Wschodniej z samorządami ościennymi</t>
    </r>
  </si>
  <si>
    <r>
      <t xml:space="preserve">Program nr 13
Turystyczna sieć współpracy-klaster „Suwalszczyzna-Mazury”
</t>
    </r>
    <r>
      <rPr>
        <sz val="11"/>
        <color indexed="8"/>
        <rFont val="Arial"/>
        <family val="2"/>
      </rPr>
      <t>Cel:
Podjęcie  inicjatyw promujących postawy przedsiębiorcze</t>
    </r>
  </si>
  <si>
    <t>b) programy, projekty lub zadania związane z umowami partnerstwa publiczno-prywatnego; (razem)</t>
  </si>
  <si>
    <t>c) programy, projekty lub zadania pozostałe (inne niż wymienione w lit.a i b) (razem)</t>
  </si>
  <si>
    <r>
      <t xml:space="preserve">Program nr 1
Budowa cmentarza komunalnego
</t>
    </r>
    <r>
      <rPr>
        <sz val="11"/>
        <color indexed="8"/>
        <rFont val="Arial"/>
        <family val="2"/>
      </rPr>
      <t>Cel:
Zwiększenie ilości miejsc pochówku</t>
    </r>
  </si>
  <si>
    <r>
      <t xml:space="preserve">Program nr 2 Dokumentacja i modernizacja ulicy Sosnowej, Cisowej, Jaworowej i Akacjowej w Gołdapi
</t>
    </r>
    <r>
      <rPr>
        <sz val="11"/>
        <color indexed="8"/>
        <rFont val="Arial"/>
        <family val="2"/>
      </rPr>
      <t>Cel: 
Usprawnienie połączeń komunikacyjnych, poprawa jakości i bezpieczeństwa ruchu drogowego</t>
    </r>
  </si>
  <si>
    <t>2) umowy, których realizacja w roku budżetowym i w latach następnych jest niezbędna dla zapewnienia ciągłości działania jednostki i których płatności przypadają w okresie dłuższym niż rok; (razem)</t>
  </si>
  <si>
    <t>3) gwarancje i poręczenia udzielane przez jednostki samorządu terytorialnego(razem)</t>
  </si>
  <si>
    <r>
      <t xml:space="preserve">Umowa nr 1 
Poręczenie kredytu na rzecz Przedsiębiorstwa Wodociągów i kanalizacji w Gołdapi Sp. Z o.o. W której 100% udziałów posiada Gmina Gołdap, Kredyt zaciągnięty został na rozbudowę oczyszczalni ścieków
</t>
    </r>
    <r>
      <rPr>
        <sz val="11"/>
        <color indexed="8"/>
        <rFont val="Arial"/>
        <family val="2"/>
      </rPr>
      <t>Cel:
Umożliwienie zaciągnięcia kredytu na modernizację oczyszczalni ścieków</t>
    </r>
  </si>
  <si>
    <r>
      <t xml:space="preserve">Umowa nr 2
Poręczenie kredytu na rzecz Domu Kultury w Gołdapi, Kredyt zaciągnięty został na sfinansowanie cześci wydatków na budowę parku kulturalno-rekreacyjnego w Grabowie
</t>
    </r>
    <r>
      <rPr>
        <sz val="11"/>
        <color indexed="8"/>
        <rFont val="Arial"/>
        <family val="2"/>
      </rPr>
      <t>Cel:
Umożliwienie zaciągnięcia kredytu na dokończenie budowy parku kulturalno-rekreacyjnego w Grabowie</t>
    </r>
  </si>
  <si>
    <t>Uchwała Nr</t>
  </si>
  <si>
    <t>Rady Miejskiej w Gołdapi</t>
  </si>
  <si>
    <t>w sprawie zmian Wieloletniej Prognozy Finansowej Gminy Gołdap
na lata 2012– 2032</t>
  </si>
  <si>
    <t>Na podstawie art. 226, art. 227, art. 231, ustawy z dnia 27 sierpnia 2009 r. o finansach publicznych (Dz. U. Nr 157, poz. 1240 z późn. zm.) w związku z art. 121 ust. 8 i art. 122 ust. 2 i 3 ustawy z dnia 27 sierpnia 2009 r. Przepisy wprowadzające ustawę o finansach publicznych (Dz. U. Nr 157, poz. 1241 z późn. zm.) oraz art. 18 ust. 2 pkt 6 ustawy z dnia 8 marca 1990 r. o samorządzie gminnym (tj. Dz. U. z 2001 r. Nr 142, poz. 1591 z późn. zm.) uchwala się co następuje:</t>
  </si>
  <si>
    <t>§ 1</t>
  </si>
  <si>
    <t xml:space="preserve"> plan dochodów o kwotę</t>
  </si>
  <si>
    <t>§ 2</t>
  </si>
  <si>
    <t xml:space="preserve"> plan wydatków o kwotę</t>
  </si>
  <si>
    <t>§ 3</t>
  </si>
  <si>
    <t>Plan dochodów budżetowych po zmianach wynosi, w tym:</t>
  </si>
  <si>
    <t xml:space="preserve">1. Plan dochodów bieżących </t>
  </si>
  <si>
    <r>
      <t xml:space="preserve">2. </t>
    </r>
    <r>
      <rPr>
        <sz val="10"/>
        <rFont val="Arial"/>
        <family val="2"/>
      </rPr>
      <t>Plan dochodów majątkowych</t>
    </r>
  </si>
  <si>
    <t>§ 4</t>
  </si>
  <si>
    <t>Plan wydatków budżetowych po zmianach wynosi  w tym:</t>
  </si>
  <si>
    <r>
      <t xml:space="preserve">1. </t>
    </r>
    <r>
      <rPr>
        <sz val="10"/>
        <rFont val="Arial"/>
        <family val="2"/>
      </rPr>
      <t xml:space="preserve">Plan wydatków bieżących </t>
    </r>
    <r>
      <rPr>
        <sz val="12"/>
        <rFont val=""/>
        <family val="1"/>
      </rPr>
      <t xml:space="preserve"> </t>
    </r>
  </si>
  <si>
    <r>
      <t xml:space="preserve">2. </t>
    </r>
    <r>
      <rPr>
        <sz val="10"/>
        <rFont val="Arial"/>
        <family val="2"/>
      </rPr>
      <t>Plan wydatków majątkowych</t>
    </r>
  </si>
  <si>
    <t>§ 5</t>
  </si>
  <si>
    <r>
      <t xml:space="preserve"> </t>
    </r>
    <r>
      <rPr>
        <sz val="9"/>
        <rFont val="Arial"/>
        <family val="2"/>
      </rPr>
      <t>Wykonanie uchwały powierza się Burmistrzowi Gołdapi</t>
    </r>
  </si>
  <si>
    <t>§ 6</t>
  </si>
  <si>
    <t>Uchwała wchodzi w życie z dniem podjęcia i podlega ogłoszeniu na tablicy ogłoszeń Urzędu Miejskiego</t>
  </si>
  <si>
    <t>Przewodniczący Rady Miejskiej</t>
  </si>
  <si>
    <t>Wojciech Hołdyński</t>
  </si>
  <si>
    <t>Zmniejszyć</t>
  </si>
  <si>
    <t>Zwiększyć</t>
  </si>
  <si>
    <t>Objaśnienia do uchwały</t>
  </si>
  <si>
    <t>Zmiany planu dochdów</t>
  </si>
  <si>
    <t>Zmiany planu wydatków</t>
  </si>
  <si>
    <r>
      <t>010 –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Rolnictwo i łowiectwo</t>
    </r>
  </si>
  <si>
    <r>
      <t xml:space="preserve">- </t>
    </r>
    <r>
      <rPr>
        <sz val="11"/>
        <rFont val="Times New Roman"/>
        <family val="1"/>
      </rPr>
      <t>Zwiększenie planu wydatków na budowę wodociagów wiejskich Pogorzel-Kozaki, Galwiecie-Botkuny, Grabowo-Kolonia</t>
    </r>
  </si>
  <si>
    <r>
      <t>600 –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Transport i łączność</t>
    </r>
  </si>
  <si>
    <r>
      <t xml:space="preserve">- </t>
    </r>
    <r>
      <rPr>
        <sz val="11"/>
        <rFont val="Times New Roman"/>
        <family val="1"/>
      </rPr>
      <t>Zwiększenie planu wydatków na modernizację ulicy Sosnowej i Cisowej</t>
    </r>
  </si>
  <si>
    <t>700 – Gospodarka mieszkaniowa</t>
  </si>
  <si>
    <t>- Zwiększenie planu wydatków na wykonanie odwiertu solankowego i budowę teżni</t>
  </si>
  <si>
    <t>- Zwiększenie planu wydatków na budowę cmentarza kommunalnego,</t>
  </si>
  <si>
    <t>- Zwiększenie planu wydatków na odnowę wsi Galwiecie</t>
  </si>
  <si>
    <t xml:space="preserve">- Zmniejszenie planu wydatków na zakup usług pozostałych, przesuniecie do działu 750 </t>
  </si>
  <si>
    <t>- Wprowadzenie planu wydatków na przebudowę SP 2 w celu ulokowania w budynku szkolnym Środowiskowego Domu Samopomocy</t>
  </si>
  <si>
    <t>750 – Administracja publiczna</t>
  </si>
  <si>
    <t>- Zwiększenie planu wydatków na zakup oprogramowania do wydziału GPO</t>
  </si>
  <si>
    <t>754 – Bezpieczeństwo publiczne i ochrona przeciwpożarowa</t>
  </si>
  <si>
    <t>- prezsuniecie planu wydatków na delegacje służbowe + - 200 zł</t>
  </si>
  <si>
    <t>758 – Różne rozliczenia</t>
  </si>
  <si>
    <t>- Zwiększenie planu dochodów pochodzących z wydatków nie wygasajacych</t>
  </si>
  <si>
    <t>801 – Oświata i wychowanie</t>
  </si>
  <si>
    <t>- prezsuniecie planu wydatków na dowożenie uczniów + - 756 zł</t>
  </si>
  <si>
    <t>900 Gospodarka komunalna i ochrona środowiska</t>
  </si>
  <si>
    <t>- Zwiększenie planu wydatków na modernizację ujęcia wodnego, MASTERPLAN II</t>
  </si>
  <si>
    <t>Razem</t>
  </si>
  <si>
    <t>sporządził: Piotr Komocki</t>
  </si>
  <si>
    <t>Zarządzenie Nr</t>
  </si>
  <si>
    <t>Na podstawie art. 232  ustawy z dnia 27 sierpnia 2009 r. o finansach publicznych (Dz. U. Nr 157, poz. 1240 z późn. zm.)   - zarządzam co następuje:</t>
  </si>
  <si>
    <t>Zarządzenie wchodzi w życie z dniem podjęcia i podlega ogłoszeniu na tablicy ogłoszeń Urzędu    Miejskiego.</t>
  </si>
  <si>
    <t>Burmistrz Gołdapi</t>
  </si>
  <si>
    <t>Marek Miros</t>
  </si>
  <si>
    <t xml:space="preserve">  Zmiany do Zarządzenia  472/VII/2012 z dnia 26 lipca  2012</t>
  </si>
  <si>
    <t>Dochody</t>
  </si>
  <si>
    <t>Wydatki</t>
  </si>
  <si>
    <t>Jednostka</t>
  </si>
  <si>
    <t>Rozdział</t>
  </si>
  <si>
    <t>§</t>
  </si>
  <si>
    <t>zmniejszenie</t>
  </si>
  <si>
    <t>zwiększenie</t>
  </si>
  <si>
    <t>Wydatki na wynagrodzenia</t>
  </si>
  <si>
    <t>Wydatki na funkcjonowanie jst</t>
  </si>
  <si>
    <t>UM</t>
  </si>
  <si>
    <t>75023</t>
  </si>
  <si>
    <t>75075</t>
  </si>
  <si>
    <t>75095</t>
  </si>
  <si>
    <t>60016</t>
  </si>
  <si>
    <t>90095</t>
  </si>
  <si>
    <t>92604</t>
  </si>
  <si>
    <t>75416</t>
  </si>
  <si>
    <t>85415</t>
  </si>
  <si>
    <t>2030</t>
  </si>
  <si>
    <t>OPS</t>
  </si>
  <si>
    <t>85212</t>
  </si>
  <si>
    <t>85213</t>
  </si>
  <si>
    <t>2010</t>
  </si>
  <si>
    <r>
      <t xml:space="preserve">zad. Zlec </t>
    </r>
    <r>
      <rPr>
        <sz val="10"/>
        <rFont val="Arial"/>
        <family val="2"/>
      </rPr>
      <t>§2010</t>
    </r>
  </si>
  <si>
    <t>85215</t>
  </si>
  <si>
    <t>85219</t>
  </si>
  <si>
    <t>SUMA</t>
  </si>
  <si>
    <t>PER SALDO</t>
  </si>
  <si>
    <t>do WPF</t>
  </si>
  <si>
    <t>Zmiana deficytu(+,-)</t>
  </si>
  <si>
    <t>Załączniki:</t>
  </si>
  <si>
    <t>Wynagrodzenia i poch.</t>
  </si>
  <si>
    <t xml:space="preserve"> dochody</t>
  </si>
  <si>
    <r>
      <t>do WPF</t>
    </r>
    <r>
      <rPr>
        <sz val="10"/>
        <rFont val="Arial"/>
        <family val="2"/>
      </rPr>
      <t xml:space="preserve"> per saldo</t>
    </r>
  </si>
  <si>
    <t xml:space="preserve"> wydatki </t>
  </si>
  <si>
    <t>§ 401, 411,412</t>
  </si>
  <si>
    <t xml:space="preserve">inwestycje </t>
  </si>
  <si>
    <t>Na funkcjonowanie jst</t>
  </si>
  <si>
    <t>inwestycje UE</t>
  </si>
  <si>
    <t>dotacje</t>
  </si>
  <si>
    <t>Rozdz. 75022-23</t>
  </si>
  <si>
    <t xml:space="preserve">zadania rządowe </t>
  </si>
  <si>
    <t xml:space="preserve">umowy miedzy jst </t>
  </si>
  <si>
    <t>doch i wyd jed. Ośw</t>
  </si>
  <si>
    <t>MINUS MAJATKOWE!!!!!!!!!!!!!!</t>
  </si>
  <si>
    <t>√</t>
  </si>
  <si>
    <t>Dochody majątkowe</t>
  </si>
  <si>
    <t>Wydatki majątkowe</t>
  </si>
  <si>
    <t>Do WPF per saldo zmniejszenie/zwiększenie</t>
  </si>
  <si>
    <t>Dochody bieżące</t>
  </si>
  <si>
    <t>Wydatki bieżące</t>
  </si>
  <si>
    <t>Kontrola</t>
  </si>
  <si>
    <t>Do WPF per saldo   OGÓŁEM zmniejszenie/zwiększenie</t>
  </si>
  <si>
    <t>Załącznik nr 12
do Zarządzenia  Nr................
Burmistrza Gołdapi
z dnia...marca 2012 r.</t>
  </si>
  <si>
    <t xml:space="preserve">Prognoza kwoty długu gminy </t>
  </si>
  <si>
    <t>w złotych</t>
  </si>
  <si>
    <t>L.p.</t>
  </si>
  <si>
    <t>Rodzaj zadłużenia</t>
  </si>
  <si>
    <t xml:space="preserve"> Wykonanie  na 31.12. 2011</t>
  </si>
  <si>
    <t>1.</t>
  </si>
  <si>
    <t>Wyemitowane papiery wartościowe</t>
  </si>
  <si>
    <t>2.</t>
  </si>
  <si>
    <t>Kredyty</t>
  </si>
  <si>
    <t>3.</t>
  </si>
  <si>
    <t>Pożyczki</t>
  </si>
  <si>
    <t>4.</t>
  </si>
  <si>
    <t>Przyjęte depozyty</t>
  </si>
  <si>
    <t>5.</t>
  </si>
  <si>
    <t>Wymagalne zobowiązania:</t>
  </si>
  <si>
    <t>6.</t>
  </si>
  <si>
    <t>1) jednostek budżetowych,</t>
  </si>
  <si>
    <t>7.</t>
  </si>
  <si>
    <t>2) wynikające z:</t>
  </si>
  <si>
    <t>8.</t>
  </si>
  <si>
    <t>a) ustaw,</t>
  </si>
  <si>
    <t>9.</t>
  </si>
  <si>
    <t>b) orzeczeń sądu,</t>
  </si>
  <si>
    <t>10.</t>
  </si>
  <si>
    <t>c) udzielonych poręczeń i gwarancji,</t>
  </si>
  <si>
    <t>11.</t>
  </si>
  <si>
    <t>d) innych tytułów,</t>
  </si>
  <si>
    <t>12.</t>
  </si>
  <si>
    <t>Dochody ogółem</t>
  </si>
  <si>
    <t>13.</t>
  </si>
  <si>
    <t>Łączna kwota długu na koniec roku budżetowego</t>
  </si>
  <si>
    <t>14.</t>
  </si>
  <si>
    <t>Procentowy udział długu w dochodach</t>
  </si>
  <si>
    <t>Załącznik nr 13
do Zarządzenia  Nr................
Burmistrza Gołdapi
z dnia...marca 2012 r.</t>
  </si>
  <si>
    <t>Lata spłaty kredytu/pożyczki</t>
  </si>
  <si>
    <t>I.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</si>
  <si>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</si>
  <si>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</si>
  <si>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</si>
  <si>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</si>
  <si>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</si>
  <si>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</si>
  <si>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</si>
  <si>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</si>
  <si>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</si>
  <si>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</si>
  <si>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II.</t>
  </si>
  <si>
    <t>Wydatki ogółem</t>
  </si>
  <si>
    <t>III.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</si>
  <si>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</si>
  <si>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</si>
  <si>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</si>
  <si>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</si>
  <si>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</si>
  <si>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</si>
  <si>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</si>
  <si>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</si>
  <si>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Wykup papierów wartościowych</t>
  </si>
  <si>
    <t>IV.</t>
  </si>
  <si>
    <t>Wynik (I - II)</t>
  </si>
  <si>
    <t>V.</t>
  </si>
  <si>
    <t>Planowana łączna kwota długu, w tym:</t>
  </si>
  <si>
    <t>Dług zaciągnięty w związku ze środkami określonymi w umowie zawartej z podmiotem dysponującym funduszami strukturalnymi lub F.S.U.E.</t>
  </si>
  <si>
    <t>VI.1.</t>
  </si>
  <si>
    <r>
      <t xml:space="preserve">Dług/dochody (%) (art. 170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u.f.p. z 2005 r.)</t>
    </r>
  </si>
  <si>
    <t>VI.2.</t>
  </si>
  <si>
    <r>
      <t xml:space="preserve">Spłaty kredytów, pożyczek do dochodów (%) (art. 169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 u.f.p. z 2005 r.)</t>
    </r>
  </si>
  <si>
    <t>VII.1.</t>
  </si>
  <si>
    <r>
      <t xml:space="preserve">Dług/dochody po wyłączeniach (%) (art. 170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u.f.p. z 2005 r.)</t>
    </r>
  </si>
  <si>
    <t>VII.2.</t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</si>
  <si>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 u.f.p. z 2005 r.)</t>
    </r>
  </si>
  <si>
    <t>Urząd Miejski w Gołdapi</t>
  </si>
  <si>
    <t>Plac Zwycięstwa 14, 19-500 Gołdap</t>
  </si>
  <si>
    <t>Gołdap, dn.</t>
  </si>
  <si>
    <t>02 lutego 2012</t>
  </si>
  <si>
    <t>Sytuacja finansowa gminy Gołdap do roku 2032</t>
  </si>
  <si>
    <t>Plan na 2011
(na dzień sporządzenia syt. Fin.)</t>
  </si>
  <si>
    <t xml:space="preserve">Prognoza na 2012 </t>
  </si>
  <si>
    <t>Prognoza na 2013</t>
  </si>
  <si>
    <t>Prognoza na 2014</t>
  </si>
  <si>
    <t>Prognoza na 2015</t>
  </si>
  <si>
    <t>Prognoza na 2016</t>
  </si>
  <si>
    <t>Prognoza na 2017</t>
  </si>
  <si>
    <t>Prognoza na 2018</t>
  </si>
  <si>
    <t>Prognoza na 2019</t>
  </si>
  <si>
    <t>Prognoza na 2020</t>
  </si>
  <si>
    <t>Prognoza na 2021</t>
  </si>
  <si>
    <t>Prognoza na 2022</t>
  </si>
  <si>
    <t>Prognoza na 2023</t>
  </si>
  <si>
    <t>Prognoza na 2024</t>
  </si>
  <si>
    <t>Prognoza na 2025</t>
  </si>
  <si>
    <t>Prognoza na 2026</t>
  </si>
  <si>
    <t>Prognoza na 2027</t>
  </si>
  <si>
    <t>Prognoza na 2028</t>
  </si>
  <si>
    <t>Prognoza na 2029</t>
  </si>
  <si>
    <t>Prognoza na 2030</t>
  </si>
  <si>
    <t>Prognoza na 2031</t>
  </si>
  <si>
    <t>Prognoza na 2032</t>
  </si>
  <si>
    <t>I. Dochody ogółem, z tego:</t>
  </si>
  <si>
    <t>1. Dochody bieżące</t>
  </si>
  <si>
    <t>2. Dochody majątkowe, w tym:</t>
  </si>
  <si>
    <t>2.1. Dochody ze sprzedaży majątku</t>
  </si>
  <si>
    <t>II. Wydatki ogółem, z tego:</t>
  </si>
  <si>
    <t>1. Wydatki bieżące, w tym:</t>
  </si>
  <si>
    <t>1.1.Wydatki na obsługę długu</t>
  </si>
  <si>
    <t>2. Wydatki majątkowe</t>
  </si>
  <si>
    <t>III. Wynik budżetu (I-II)</t>
  </si>
  <si>
    <t>IV. Łączna kwota spłat zaciągniętych zobowiązań z tytułu: (1+2+3+4+5)</t>
  </si>
  <si>
    <t>1. Spłaty rat zobowiązań zaciągniętych ogółem włącznie: (1.1+1.2)</t>
  </si>
  <si>
    <t>1.1. Kredytów i pożyczek, w tym:</t>
  </si>
  <si>
    <t>1.1.1. Kredytów i pożyczek zaciągniętych na zadania finansowane z udziałem środków UE i EFTA</t>
  </si>
  <si>
    <t>1.2. Odsetki</t>
  </si>
  <si>
    <t>2. Spłaty rat zobowiązań wnioskowanych: (2.1+2.2+2.3)</t>
  </si>
  <si>
    <t>2.1. Kredytów, w tym:</t>
  </si>
  <si>
    <t>2.1.1. Kredytów zaciąganych na zadania finansowane z udziałem środków UE i EFTA</t>
  </si>
  <si>
    <t>2.2.Pożyczek, w tym:</t>
  </si>
  <si>
    <t>2.2.1. Pożyczek zaciąganych na zadania finansowane z udziałem środków UE i EFTA</t>
  </si>
  <si>
    <t>2.3. Odsetki</t>
  </si>
  <si>
    <t>3. Spłaty rat zobowiązań planowanych do zaciągnięcia  ogółem włącznie: (3.1+3.2)</t>
  </si>
  <si>
    <t>3.1. Kredytów i pożyczek, w tym:</t>
  </si>
  <si>
    <t>3.1.1. Kredytów i pożyczek zaciągniętych na zadania finansowane z udziałem środków UE i EFTA</t>
  </si>
  <si>
    <t>3.2. Odsetki</t>
  </si>
  <si>
    <t>4. Wykup papierów wartościowych (4.1+4.2), w tym:</t>
  </si>
  <si>
    <t>4.1. Wykup papierów wartościowych wyemitowanych na zadania finansowane z udziałem środków UE i EFTA</t>
  </si>
  <si>
    <t>4.2. Odsetki</t>
  </si>
  <si>
    <t>5. Wartość potencjalnych spłat kwot wynikających z udzielonych poręczeń i gwarancji</t>
  </si>
  <si>
    <t>V. Łączna kwota długu na koniec roku budżetowego, z tego:</t>
  </si>
  <si>
    <t>1. Kredyty i pożyczki, w tym:</t>
  </si>
  <si>
    <t>1.1. Kredyty i pożyczki zaciągnięte na zadania finansowane z udziałem środków UE i EFTA</t>
  </si>
  <si>
    <t>2. Papiery wartościowe, w tym:</t>
  </si>
  <si>
    <t>2.1. Papiery wartościowe wyemitowane na zadania finansowane z udziałem środków UE i EFTA</t>
  </si>
  <si>
    <t>3. Przyjęte depozyty</t>
  </si>
  <si>
    <t>4. Wymagalne zobowiązania</t>
  </si>
  <si>
    <t>VI. Kwota zobowiązań związku współtworzonego przez jst przypadających do spłaty w danym roku budżetowym, zgodnie z art. 244 ufp</t>
  </si>
  <si>
    <t>VII. Wskaźnik długu (art. 170 ust. 1 sufp) w %</t>
  </si>
  <si>
    <t>VIII. Wskaźnik długu (art. 170 ust. 3 sufp) w %</t>
  </si>
  <si>
    <t>IX. Spłaty rat kredytów i pożyczek, wykup papierów wartościowych, potencjalnych poręczeń i gwarancji / dochodów (art. 169 ust. 1 sufp) (%)</t>
  </si>
  <si>
    <t>X. Spłaty rat kredytów i pożyczek, wykup papierów wartościowych, potencjalnych poręczeń i gwarancji / dochodów (art. 169 ust. 3 sufp) (%) (  lewa strona wzoru z art 243)</t>
  </si>
  <si>
    <t>XI. Średnia arytmetyczna z ostatnich trzech lat, o której mowa w art. 243 ustawy z 27 sierpnia 2009 r.</t>
  </si>
  <si>
    <t>XII. Czy spełniony jest warunek, o którym mowa w art. 243, po uwzględnieniu art. 244 ustawy z 27 sierpnia 2009r. dla danego roku</t>
  </si>
  <si>
    <t>Sporządził: Piotr Komocki</t>
  </si>
  <si>
    <t>Podpis wnioskodawcy: ....................................................</t>
  </si>
  <si>
    <t>spłata kredytów zaciągniętych do 2011 włącznie</t>
  </si>
  <si>
    <t>w tym UE</t>
  </si>
  <si>
    <t>Odsetki 5% ( jak w WPF) od stanu na koniec roku  zaktualizowane  o odchyłkę z wiersza 78</t>
  </si>
  <si>
    <t>kontrola</t>
  </si>
  <si>
    <t>stan długu z tyt kredytu do 2011 włacznie</t>
  </si>
  <si>
    <t xml:space="preserve">spłata kredytu zaciągniętego w 2012  </t>
  </si>
  <si>
    <t>Odsetki .....% (jak w WPF) od stanu na koniec roku</t>
  </si>
  <si>
    <t>stan długu z tyt kredytu zaciągniętego w 2012</t>
  </si>
  <si>
    <t xml:space="preserve">spłata kredytu zaciągniętego w 2013z WPF  </t>
  </si>
  <si>
    <t>Odsetki 5%( jak w WPF) od stanu na koniec roku</t>
  </si>
  <si>
    <t>stan długu z tyt kredytu zaciągniętego w 2013</t>
  </si>
  <si>
    <t>Stan kredytów ogółem</t>
  </si>
  <si>
    <t>stan kredytów UE</t>
  </si>
  <si>
    <t>odsetki ogółem</t>
  </si>
  <si>
    <t>prowizje</t>
  </si>
  <si>
    <t>wydatki na obsługę długu (odsetki + prowizje) jak w WPF zał nr 1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</si>
</sst>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#,##0.00"/>
    <numFmt numFmtId="167" formatCode="0.00%"/>
    <numFmt numFmtId="168" formatCode="#,##0.00;[RED]\-#,##0.00"/>
    <numFmt numFmtId="169" formatCode="#,###.00"/>
    <numFmt numFmtId="170" formatCode="#,##0;[RED]\-#,##0"/>
    <numFmt numFmtId="171" formatCode="#,##0.00\ [$zł-415];[RED]\-#,##0.00\ [$zł-415]"/>
    <numFmt numFmtId="172" formatCode="@"/>
    <numFmt numFmtId="173" formatCode="#,##0;\-#,##0"/>
    <numFmt numFmtId="174" formatCode="D\ MMMM\ YYYY"/>
    <numFmt numFmtId="175" formatCode="#,##0.0"/>
    <numFmt numFmtId="176" formatCode="#,##0.0000"/>
  </numFmts>
  <fonts count="54">
    <font>
      <sz val="10"/>
      <name val="Arial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8"/>
      <name val="Czcionka tekstu podstawowego"/>
      <family val="2"/>
    </font>
    <font>
      <sz val="16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14"/>
      <color indexed="8"/>
      <name val="Czcionka tekstu podstawowego"/>
      <family val="2"/>
    </font>
    <font>
      <b/>
      <sz val="14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2"/>
      <color indexed="8"/>
      <name val="Czcionka tekstu podstawowego"/>
      <family val="2"/>
    </font>
    <font>
      <sz val="14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11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2"/>
      <name val=""/>
      <family val="1"/>
    </font>
    <font>
      <b/>
      <sz val="9"/>
      <name val="Arial"/>
      <family val="2"/>
    </font>
    <font>
      <b/>
      <u val="single"/>
      <sz val="18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u val="single"/>
      <sz val="14"/>
      <name val="Arial"/>
      <family val="2"/>
    </font>
    <font>
      <b/>
      <sz val="12"/>
      <color indexed="9"/>
      <name val="Arial"/>
      <family val="2"/>
    </font>
    <font>
      <b/>
      <u val="single"/>
      <sz val="12"/>
      <name val="Arial"/>
      <family val="2"/>
    </font>
    <font>
      <b/>
      <sz val="15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3"/>
      <name val="Arial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b/>
      <u val="single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4">
    <xf numFmtId="164" fontId="0" fillId="0" borderId="0" xfId="0" applyAlignment="1">
      <alignment/>
    </xf>
    <xf numFmtId="164" fontId="1" fillId="0" borderId="0" xfId="0" applyFont="1" applyBorder="1" applyAlignment="1">
      <alignment horizontal="left"/>
    </xf>
    <xf numFmtId="164" fontId="0" fillId="0" borderId="0" xfId="0" applyAlignment="1">
      <alignment horizontal="left"/>
    </xf>
    <xf numFmtId="164" fontId="2" fillId="0" borderId="0" xfId="0" applyFont="1" applyBorder="1" applyAlignment="1">
      <alignment horizontal="left" wrapText="1"/>
    </xf>
    <xf numFmtId="164" fontId="2" fillId="0" borderId="0" xfId="0" applyFont="1" applyAlignment="1">
      <alignment horizontal="left" wrapText="1"/>
    </xf>
    <xf numFmtId="164" fontId="0" fillId="0" borderId="0" xfId="0" applyFont="1" applyBorder="1" applyAlignment="1">
      <alignment horizontal="left" wrapText="1"/>
    </xf>
    <xf numFmtId="165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3" fillId="0" borderId="1" xfId="0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 applyProtection="1">
      <alignment horizontal="center" vertical="center" wrapText="1"/>
      <protection locked="0"/>
    </xf>
    <xf numFmtId="164" fontId="3" fillId="3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left"/>
    </xf>
    <xf numFmtId="166" fontId="4" fillId="2" borderId="1" xfId="0" applyNumberFormat="1" applyFont="1" applyFill="1" applyBorder="1" applyAlignment="1" applyProtection="1">
      <alignment vertical="center"/>
      <protection locked="0"/>
    </xf>
    <xf numFmtId="166" fontId="0" fillId="0" borderId="1" xfId="0" applyNumberFormat="1" applyFont="1" applyFill="1" applyBorder="1" applyAlignment="1">
      <alignment horizontal="right" vertical="center"/>
    </xf>
    <xf numFmtId="164" fontId="0" fillId="0" borderId="1" xfId="0" applyFont="1" applyBorder="1" applyAlignment="1">
      <alignment horizontal="left" wrapText="1"/>
    </xf>
    <xf numFmtId="166" fontId="4" fillId="2" borderId="1" xfId="0" applyNumberFormat="1" applyFont="1" applyFill="1" applyBorder="1" applyAlignment="1" applyProtection="1">
      <alignment horizontal="center" vertical="center"/>
      <protection locked="0"/>
    </xf>
    <xf numFmtId="166" fontId="0" fillId="2" borderId="1" xfId="0" applyNumberFormat="1" applyFont="1" applyFill="1" applyBorder="1" applyAlignment="1">
      <alignment horizontal="right" vertical="center"/>
    </xf>
    <xf numFmtId="164" fontId="3" fillId="0" borderId="1" xfId="0" applyFont="1" applyBorder="1" applyAlignment="1">
      <alignment horizontal="left" wrapText="1"/>
    </xf>
    <xf numFmtId="166" fontId="4" fillId="3" borderId="1" xfId="0" applyNumberFormat="1" applyFont="1" applyFill="1" applyBorder="1" applyAlignment="1" applyProtection="1">
      <alignment vertical="center"/>
      <protection locked="0"/>
    </xf>
    <xf numFmtId="166" fontId="0" fillId="3" borderId="1" xfId="0" applyNumberFormat="1" applyFont="1" applyFill="1" applyBorder="1" applyAlignment="1">
      <alignment horizontal="right" vertical="center"/>
    </xf>
    <xf numFmtId="166" fontId="0" fillId="0" borderId="1" xfId="0" applyNumberFormat="1" applyFont="1" applyBorder="1" applyAlignment="1">
      <alignment horizontal="right" vertical="center" wrapText="1"/>
    </xf>
    <xf numFmtId="166" fontId="0" fillId="2" borderId="1" xfId="0" applyNumberFormat="1" applyFont="1" applyFill="1" applyBorder="1" applyAlignment="1">
      <alignment horizontal="right" vertical="center" wrapText="1"/>
    </xf>
    <xf numFmtId="167" fontId="0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wrapText="1"/>
    </xf>
    <xf numFmtId="167" fontId="5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top" wrapText="1"/>
    </xf>
    <xf numFmtId="168" fontId="3" fillId="0" borderId="1" xfId="0" applyNumberFormat="1" applyFont="1" applyBorder="1" applyAlignment="1">
      <alignment vertical="center"/>
    </xf>
    <xf numFmtId="164" fontId="3" fillId="0" borderId="1" xfId="0" applyFont="1" applyBorder="1" applyAlignment="1">
      <alignment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/>
    </xf>
    <xf numFmtId="168" fontId="6" fillId="0" borderId="1" xfId="0" applyNumberFormat="1" applyFont="1" applyBorder="1" applyAlignment="1">
      <alignment vertical="center"/>
    </xf>
    <xf numFmtId="164" fontId="0" fillId="0" borderId="0" xfId="0" applyFont="1" applyBorder="1" applyAlignment="1">
      <alignment horizontal="center"/>
    </xf>
    <xf numFmtId="164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0" fillId="0" borderId="0" xfId="0" applyNumberFormat="1" applyFont="1" applyAlignment="1" applyProtection="1">
      <alignment horizontal="right"/>
      <protection hidden="1"/>
    </xf>
    <xf numFmtId="169" fontId="0" fillId="0" borderId="0" xfId="0" applyNumberFormat="1" applyFill="1" applyAlignment="1" applyProtection="1">
      <alignment/>
      <protection hidden="1"/>
    </xf>
    <xf numFmtId="169" fontId="0" fillId="2" borderId="0" xfId="0" applyNumberFormat="1" applyFill="1" applyAlignment="1" applyProtection="1">
      <alignment/>
      <protection hidden="1"/>
    </xf>
    <xf numFmtId="169" fontId="0" fillId="0" borderId="0" xfId="0" applyNumberFormat="1" applyAlignment="1" applyProtection="1">
      <alignment/>
      <protection hidden="1"/>
    </xf>
    <xf numFmtId="164" fontId="0" fillId="0" borderId="0" xfId="0" applyFont="1" applyAlignment="1" applyProtection="1">
      <alignment horizontal="right"/>
      <protection hidden="1"/>
    </xf>
    <xf numFmtId="169" fontId="0" fillId="0" borderId="0" xfId="0" applyNumberFormat="1" applyAlignment="1">
      <alignment/>
    </xf>
    <xf numFmtId="169" fontId="0" fillId="2" borderId="0" xfId="0" applyNumberFormat="1" applyFill="1" applyBorder="1" applyAlignment="1" applyProtection="1">
      <alignment vertical="center"/>
      <protection hidden="1"/>
    </xf>
    <xf numFmtId="169" fontId="0" fillId="0" borderId="0" xfId="0" applyNumberFormat="1" applyFill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wrapText="1"/>
      <protection hidden="1"/>
    </xf>
    <xf numFmtId="169" fontId="3" fillId="0" borderId="0" xfId="0" applyNumberFormat="1" applyFont="1" applyFill="1" applyBorder="1" applyAlignment="1" applyProtection="1">
      <alignment horizontal="left" wrapText="1"/>
      <protection hidden="1"/>
    </xf>
    <xf numFmtId="164" fontId="7" fillId="0" borderId="0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Border="1" applyAlignment="1" applyProtection="1">
      <alignment horizontal="left" vertical="center" wrapText="1"/>
      <protection/>
    </xf>
    <xf numFmtId="164" fontId="7" fillId="0" borderId="1" xfId="0" applyFont="1" applyFill="1" applyBorder="1" applyAlignment="1" applyProtection="1">
      <alignment horizontal="center" vertical="center"/>
      <protection/>
    </xf>
    <xf numFmtId="164" fontId="0" fillId="0" borderId="1" xfId="0" applyBorder="1" applyAlignment="1" applyProtection="1">
      <alignment horizontal="center" vertical="center"/>
      <protection/>
    </xf>
    <xf numFmtId="164" fontId="0" fillId="2" borderId="1" xfId="0" applyFont="1" applyFill="1" applyBorder="1" applyAlignment="1" applyProtection="1">
      <alignment horizontal="center" vertical="center" wrapText="1"/>
      <protection locked="0"/>
    </xf>
    <xf numFmtId="164" fontId="0" fillId="3" borderId="1" xfId="0" applyFont="1" applyFill="1" applyBorder="1" applyAlignment="1" applyProtection="1">
      <alignment horizontal="center" vertical="center" wrapText="1"/>
      <protection locked="0"/>
    </xf>
    <xf numFmtId="164" fontId="3" fillId="2" borderId="1" xfId="0" applyFont="1" applyFill="1" applyBorder="1" applyAlignment="1" applyProtection="1">
      <alignment vertical="center" wrapText="1"/>
      <protection/>
    </xf>
    <xf numFmtId="168" fontId="3" fillId="0" borderId="1" xfId="0" applyNumberFormat="1" applyFont="1" applyBorder="1" applyAlignment="1" applyProtection="1">
      <alignment vertical="center"/>
      <protection/>
    </xf>
    <xf numFmtId="168" fontId="3" fillId="2" borderId="1" xfId="0" applyNumberFormat="1" applyFont="1" applyFill="1" applyBorder="1" applyAlignment="1" applyProtection="1">
      <alignment vertical="center"/>
      <protection/>
    </xf>
    <xf numFmtId="164" fontId="0" fillId="2" borderId="1" xfId="0" applyFont="1" applyFill="1" applyBorder="1" applyAlignment="1" applyProtection="1">
      <alignment vertical="center" wrapText="1"/>
      <protection/>
    </xf>
    <xf numFmtId="168" fontId="0" fillId="2" borderId="1" xfId="0" applyNumberFormat="1" applyFill="1" applyBorder="1" applyAlignment="1" applyProtection="1">
      <alignment vertical="center"/>
      <protection locked="0"/>
    </xf>
    <xf numFmtId="166" fontId="0" fillId="2" borderId="1" xfId="0" applyNumberFormat="1" applyFont="1" applyFill="1" applyBorder="1" applyAlignment="1" applyProtection="1">
      <alignment vertical="center"/>
      <protection locked="0"/>
    </xf>
    <xf numFmtId="168" fontId="0" fillId="0" borderId="1" xfId="0" applyNumberFormat="1" applyFill="1" applyBorder="1" applyAlignment="1" applyProtection="1">
      <alignment vertical="center"/>
      <protection locked="0"/>
    </xf>
    <xf numFmtId="166" fontId="8" fillId="2" borderId="1" xfId="0" applyNumberFormat="1" applyFont="1" applyFill="1" applyBorder="1" applyAlignment="1">
      <alignment vertical="center"/>
    </xf>
    <xf numFmtId="170" fontId="0" fillId="0" borderId="1" xfId="0" applyNumberFormat="1" applyFill="1" applyBorder="1" applyAlignment="1" applyProtection="1">
      <alignment vertical="center"/>
      <protection locked="0"/>
    </xf>
    <xf numFmtId="168" fontId="0" fillId="2" borderId="1" xfId="0" applyNumberFormat="1" applyFill="1" applyBorder="1" applyAlignment="1" applyProtection="1">
      <alignment vertical="center" wrapText="1"/>
      <protection locked="0"/>
    </xf>
    <xf numFmtId="168" fontId="0" fillId="0" borderId="1" xfId="0" applyNumberFormat="1" applyFont="1" applyFill="1" applyBorder="1" applyAlignment="1" applyProtection="1">
      <alignment vertical="center"/>
      <protection locked="0"/>
    </xf>
    <xf numFmtId="168" fontId="0" fillId="2" borderId="1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Alignment="1">
      <alignment/>
    </xf>
    <xf numFmtId="168" fontId="3" fillId="0" borderId="1" xfId="0" applyNumberFormat="1" applyFont="1" applyFill="1" applyBorder="1" applyAlignment="1" applyProtection="1">
      <alignment vertical="center" wrapText="1"/>
      <protection locked="0"/>
    </xf>
    <xf numFmtId="168" fontId="0" fillId="0" borderId="1" xfId="0" applyNumberFormat="1" applyFill="1" applyBorder="1" applyAlignment="1" applyProtection="1">
      <alignment vertical="center" wrapText="1"/>
      <protection locked="0"/>
    </xf>
    <xf numFmtId="167" fontId="3" fillId="0" borderId="1" xfId="0" applyNumberFormat="1" applyFont="1" applyFill="1" applyBorder="1" applyAlignment="1" applyProtection="1">
      <alignment horizontal="center" vertical="center"/>
      <protection/>
    </xf>
    <xf numFmtId="167" fontId="3" fillId="0" borderId="1" xfId="0" applyNumberFormat="1" applyFont="1" applyBorder="1" applyAlignment="1" applyProtection="1">
      <alignment horizontal="center" vertical="center"/>
      <protection/>
    </xf>
    <xf numFmtId="168" fontId="3" fillId="0" borderId="1" xfId="0" applyNumberFormat="1" applyFont="1" applyFill="1" applyBorder="1" applyAlignment="1" applyProtection="1">
      <alignment vertical="center"/>
      <protection/>
    </xf>
    <xf numFmtId="168" fontId="0" fillId="2" borderId="1" xfId="0" applyNumberFormat="1" applyFill="1" applyBorder="1" applyAlignment="1" applyProtection="1">
      <alignment vertical="center"/>
      <protection/>
    </xf>
    <xf numFmtId="168" fontId="0" fillId="0" borderId="1" xfId="0" applyNumberFormat="1" applyBorder="1" applyAlignment="1" applyProtection="1">
      <alignment vertical="center"/>
      <protection/>
    </xf>
    <xf numFmtId="166" fontId="0" fillId="0" borderId="1" xfId="0" applyNumberFormat="1" applyBorder="1" applyAlignment="1" applyProtection="1">
      <alignment vertical="center"/>
      <protection/>
    </xf>
    <xf numFmtId="167" fontId="3" fillId="2" borderId="1" xfId="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 horizontal="center"/>
      <protection hidden="1"/>
    </xf>
    <xf numFmtId="164" fontId="3" fillId="0" borderId="0" xfId="0" applyNumberFormat="1" applyFont="1" applyBorder="1" applyAlignment="1" applyProtection="1">
      <alignment horizontal="left" wrapText="1"/>
      <protection hidden="1"/>
    </xf>
    <xf numFmtId="164" fontId="0" fillId="0" borderId="0" xfId="0" applyBorder="1" applyAlignment="1" applyProtection="1">
      <alignment horizontal="left"/>
      <protection hidden="1"/>
    </xf>
    <xf numFmtId="164" fontId="3" fillId="0" borderId="0" xfId="0" applyFont="1" applyAlignment="1" applyProtection="1">
      <alignment/>
      <protection hidden="1"/>
    </xf>
    <xf numFmtId="170" fontId="3" fillId="0" borderId="0" xfId="0" applyNumberFormat="1" applyFont="1" applyAlignment="1" applyProtection="1">
      <alignment/>
      <protection hidden="1"/>
    </xf>
    <xf numFmtId="164" fontId="9" fillId="0" borderId="0" xfId="0" applyFont="1" applyBorder="1" applyAlignment="1" applyProtection="1">
      <alignment wrapText="1"/>
      <protection hidden="1"/>
    </xf>
    <xf numFmtId="166" fontId="9" fillId="2" borderId="0" xfId="0" applyNumberFormat="1" applyFont="1" applyFill="1" applyAlignment="1" applyProtection="1">
      <alignment/>
      <protection hidden="1"/>
    </xf>
    <xf numFmtId="166" fontId="0" fillId="0" borderId="0" xfId="0" applyNumberFormat="1" applyFill="1" applyAlignment="1" applyProtection="1">
      <alignment/>
      <protection hidden="1"/>
    </xf>
    <xf numFmtId="166" fontId="7" fillId="0" borderId="0" xfId="0" applyNumberFormat="1" applyFont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64" fontId="0" fillId="4" borderId="0" xfId="0" applyFont="1" applyFill="1" applyAlignment="1" applyProtection="1">
      <alignment/>
      <protection hidden="1"/>
    </xf>
    <xf numFmtId="166" fontId="0" fillId="2" borderId="0" xfId="0" applyNumberFormat="1" applyFill="1" applyAlignment="1" applyProtection="1">
      <alignment/>
      <protection hidden="1"/>
    </xf>
    <xf numFmtId="171" fontId="0" fillId="0" borderId="0" xfId="0" applyNumberFormat="1" applyAlignment="1">
      <alignment/>
    </xf>
    <xf numFmtId="166" fontId="9" fillId="0" borderId="0" xfId="0" applyNumberFormat="1" applyFont="1" applyAlignment="1" applyProtection="1">
      <alignment/>
      <protection hidden="1"/>
    </xf>
    <xf numFmtId="164" fontId="0" fillId="0" borderId="0" xfId="0" applyFont="1" applyBorder="1" applyAlignment="1" applyProtection="1">
      <alignment/>
      <protection hidden="1"/>
    </xf>
    <xf numFmtId="164" fontId="0" fillId="0" borderId="0" xfId="0" applyFont="1" applyBorder="1" applyAlignment="1" applyProtection="1">
      <alignment wrapText="1"/>
      <protection hidden="1"/>
    </xf>
    <xf numFmtId="166" fontId="9" fillId="0" borderId="0" xfId="0" applyNumberFormat="1" applyFont="1" applyFill="1" applyAlignment="1" applyProtection="1">
      <alignment/>
      <protection hidden="1"/>
    </xf>
    <xf numFmtId="164" fontId="10" fillId="0" borderId="0" xfId="0" applyFont="1" applyBorder="1" applyAlignment="1">
      <alignment/>
    </xf>
    <xf numFmtId="164" fontId="11" fillId="0" borderId="0" xfId="0" applyFont="1" applyAlignment="1">
      <alignment wrapText="1"/>
    </xf>
    <xf numFmtId="164" fontId="12" fillId="0" borderId="0" xfId="0" applyFont="1" applyBorder="1" applyAlignment="1">
      <alignment horizontal="left"/>
    </xf>
    <xf numFmtId="164" fontId="2" fillId="2" borderId="0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horizontal="left" wrapText="1"/>
    </xf>
    <xf numFmtId="164" fontId="13" fillId="0" borderId="0" xfId="0" applyFont="1" applyBorder="1" applyAlignment="1">
      <alignment horizontal="left"/>
    </xf>
    <xf numFmtId="164" fontId="14" fillId="0" borderId="1" xfId="0" applyFont="1" applyBorder="1" applyAlignment="1">
      <alignment horizontal="center" vertical="center" wrapText="1"/>
    </xf>
    <xf numFmtId="164" fontId="15" fillId="0" borderId="1" xfId="0" applyFont="1" applyBorder="1" applyAlignment="1">
      <alignment horizontal="center" vertical="center" wrapText="1"/>
    </xf>
    <xf numFmtId="164" fontId="16" fillId="0" borderId="0" xfId="0" applyFont="1" applyAlignment="1">
      <alignment wrapText="1"/>
    </xf>
    <xf numFmtId="164" fontId="17" fillId="0" borderId="1" xfId="0" applyFont="1" applyBorder="1" applyAlignment="1">
      <alignment wrapText="1"/>
    </xf>
    <xf numFmtId="164" fontId="17" fillId="0" borderId="1" xfId="0" applyFont="1" applyBorder="1" applyAlignment="1">
      <alignment horizontal="left" vertical="center"/>
    </xf>
    <xf numFmtId="166" fontId="18" fillId="0" borderId="1" xfId="0" applyNumberFormat="1" applyFont="1" applyBorder="1" applyAlignment="1">
      <alignment wrapText="1"/>
    </xf>
    <xf numFmtId="164" fontId="19" fillId="0" borderId="0" xfId="0" applyFont="1" applyAlignment="1">
      <alignment/>
    </xf>
    <xf numFmtId="164" fontId="1" fillId="0" borderId="1" xfId="0" applyFont="1" applyBorder="1" applyAlignment="1">
      <alignment/>
    </xf>
    <xf numFmtId="164" fontId="20" fillId="0" borderId="1" xfId="0" applyFont="1" applyBorder="1" applyAlignment="1">
      <alignment horizontal="left"/>
    </xf>
    <xf numFmtId="166" fontId="6" fillId="0" borderId="1" xfId="0" applyNumberFormat="1" applyFont="1" applyBorder="1" applyAlignment="1">
      <alignment/>
    </xf>
    <xf numFmtId="164" fontId="19" fillId="0" borderId="0" xfId="0" applyFont="1" applyBorder="1" applyAlignment="1" applyProtection="1">
      <alignment/>
      <protection/>
    </xf>
    <xf numFmtId="164" fontId="1" fillId="0" borderId="1" xfId="0" applyFont="1" applyBorder="1" applyAlignment="1">
      <alignment horizontal="left"/>
    </xf>
    <xf numFmtId="166" fontId="21" fillId="0" borderId="1" xfId="0" applyNumberFormat="1" applyFont="1" applyBorder="1" applyAlignment="1">
      <alignment/>
    </xf>
    <xf numFmtId="164" fontId="22" fillId="0" borderId="1" xfId="0" applyFont="1" applyBorder="1" applyAlignment="1">
      <alignment horizontal="left"/>
    </xf>
    <xf numFmtId="164" fontId="23" fillId="0" borderId="0" xfId="0" applyFont="1" applyAlignment="1">
      <alignment/>
    </xf>
    <xf numFmtId="164" fontId="24" fillId="0" borderId="1" xfId="0" applyFont="1" applyBorder="1" applyAlignment="1">
      <alignment/>
    </xf>
    <xf numFmtId="164" fontId="24" fillId="0" borderId="1" xfId="0" applyFont="1" applyBorder="1" applyAlignment="1">
      <alignment horizontal="left" wrapText="1"/>
    </xf>
    <xf numFmtId="164" fontId="25" fillId="0" borderId="1" xfId="0" applyFont="1" applyBorder="1" applyAlignment="1">
      <alignment horizontal="left"/>
    </xf>
    <xf numFmtId="164" fontId="24" fillId="0" borderId="1" xfId="0" applyFont="1" applyBorder="1" applyAlignment="1">
      <alignment vertical="top" wrapText="1"/>
    </xf>
    <xf numFmtId="164" fontId="27" fillId="2" borderId="1" xfId="0" applyFont="1" applyFill="1" applyBorder="1" applyAlignment="1">
      <alignment horizontal="center" vertical="center" wrapText="1"/>
    </xf>
    <xf numFmtId="164" fontId="27" fillId="2" borderId="1" xfId="0" applyFont="1" applyFill="1" applyBorder="1" applyAlignment="1">
      <alignment horizontal="center"/>
    </xf>
    <xf numFmtId="164" fontId="27" fillId="2" borderId="1" xfId="0" applyFont="1" applyFill="1" applyBorder="1" applyAlignment="1">
      <alignment/>
    </xf>
    <xf numFmtId="166" fontId="28" fillId="0" borderId="1" xfId="0" applyNumberFormat="1" applyFont="1" applyBorder="1" applyAlignment="1">
      <alignment/>
    </xf>
    <xf numFmtId="164" fontId="27" fillId="0" borderId="1" xfId="0" applyFont="1" applyFill="1" applyBorder="1" applyAlignment="1">
      <alignment horizontal="center" vertical="center" wrapText="1"/>
    </xf>
    <xf numFmtId="164" fontId="29" fillId="0" borderId="1" xfId="0" applyFont="1" applyBorder="1" applyAlignment="1">
      <alignment horizontal="center"/>
    </xf>
    <xf numFmtId="164" fontId="29" fillId="0" borderId="1" xfId="0" applyFont="1" applyBorder="1" applyAlignment="1">
      <alignment/>
    </xf>
    <xf numFmtId="166" fontId="30" fillId="2" borderId="1" xfId="0" applyNumberFormat="1" applyFont="1" applyFill="1" applyBorder="1" applyAlignment="1">
      <alignment/>
    </xf>
    <xf numFmtId="166" fontId="5" fillId="2" borderId="1" xfId="0" applyNumberFormat="1" applyFont="1" applyFill="1" applyBorder="1" applyAlignment="1">
      <alignment/>
    </xf>
    <xf numFmtId="164" fontId="24" fillId="0" borderId="1" xfId="0" applyFont="1" applyBorder="1" applyAlignment="1">
      <alignment horizontal="left" vertical="top" wrapText="1"/>
    </xf>
    <xf numFmtId="165" fontId="28" fillId="0" borderId="1" xfId="0" applyNumberFormat="1" applyFont="1" applyBorder="1" applyAlignment="1">
      <alignment/>
    </xf>
    <xf numFmtId="165" fontId="30" fillId="2" borderId="1" xfId="0" applyNumberFormat="1" applyFont="1" applyFill="1" applyBorder="1" applyAlignment="1">
      <alignment/>
    </xf>
    <xf numFmtId="164" fontId="29" fillId="0" borderId="1" xfId="0" applyFont="1" applyFill="1" applyBorder="1" applyAlignment="1">
      <alignment horizontal="center"/>
    </xf>
    <xf numFmtId="164" fontId="0" fillId="0" borderId="1" xfId="0" applyBorder="1" applyAlignment="1">
      <alignment/>
    </xf>
    <xf numFmtId="164" fontId="29" fillId="0" borderId="1" xfId="0" applyFont="1" applyBorder="1" applyAlignment="1">
      <alignment horizontal="left" wrapText="1"/>
    </xf>
    <xf numFmtId="164" fontId="23" fillId="0" borderId="1" xfId="0" applyFont="1" applyBorder="1" applyAlignment="1">
      <alignment/>
    </xf>
    <xf numFmtId="164" fontId="25" fillId="0" borderId="1" xfId="0" applyFont="1" applyFill="1" applyBorder="1" applyAlignment="1">
      <alignment horizontal="center"/>
    </xf>
    <xf numFmtId="164" fontId="25" fillId="0" borderId="1" xfId="0" applyFont="1" applyBorder="1" applyAlignment="1">
      <alignment horizontal="center"/>
    </xf>
    <xf numFmtId="166" fontId="21" fillId="0" borderId="1" xfId="0" applyNumberFormat="1" applyFont="1" applyFill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right"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 horizontal="center" wrapText="1"/>
    </xf>
    <xf numFmtId="164" fontId="31" fillId="0" borderId="0" xfId="0" applyFont="1" applyBorder="1" applyAlignment="1">
      <alignment wrapText="1"/>
    </xf>
    <xf numFmtId="164" fontId="0" fillId="0" borderId="0" xfId="0" applyFont="1" applyAlignment="1">
      <alignment horizontal="right"/>
    </xf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71" fontId="0" fillId="0" borderId="0" xfId="0" applyNumberFormat="1" applyAlignment="1" applyProtection="1">
      <alignment/>
      <protection/>
    </xf>
    <xf numFmtId="164" fontId="0" fillId="0" borderId="0" xfId="0" applyFont="1" applyBorder="1" applyAlignment="1">
      <alignment/>
    </xf>
    <xf numFmtId="164" fontId="32" fillId="0" borderId="0" xfId="0" applyFont="1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Alignment="1">
      <alignment horizontal="right" vertical="top"/>
    </xf>
    <xf numFmtId="164" fontId="33" fillId="0" borderId="0" xfId="0" applyFont="1" applyBorder="1" applyAlignment="1">
      <alignment/>
    </xf>
    <xf numFmtId="164" fontId="0" fillId="0" borderId="0" xfId="0" applyFont="1" applyAlignment="1">
      <alignment horizontal="right" vertical="center"/>
    </xf>
    <xf numFmtId="164" fontId="31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Alignment="1" applyProtection="1">
      <alignment/>
      <protection/>
    </xf>
    <xf numFmtId="164" fontId="34" fillId="0" borderId="0" xfId="0" applyFont="1" applyBorder="1" applyAlignment="1">
      <alignment horizontal="center"/>
    </xf>
    <xf numFmtId="164" fontId="35" fillId="0" borderId="2" xfId="0" applyFont="1" applyBorder="1" applyAlignment="1">
      <alignment horizontal="center"/>
    </xf>
    <xf numFmtId="164" fontId="0" fillId="0" borderId="2" xfId="0" applyBorder="1" applyAlignment="1">
      <alignment/>
    </xf>
    <xf numFmtId="164" fontId="36" fillId="0" borderId="1" xfId="0" applyFont="1" applyBorder="1" applyAlignment="1">
      <alignment horizontal="center"/>
    </xf>
    <xf numFmtId="164" fontId="36" fillId="2" borderId="1" xfId="0" applyFont="1" applyFill="1" applyBorder="1" applyAlignment="1">
      <alignment horizontal="center"/>
    </xf>
    <xf numFmtId="164" fontId="38" fillId="0" borderId="1" xfId="0" applyFont="1" applyBorder="1" applyAlignment="1">
      <alignment wrapText="1"/>
    </xf>
    <xf numFmtId="171" fontId="39" fillId="0" borderId="1" xfId="0" applyNumberFormat="1" applyFont="1" applyBorder="1" applyAlignment="1">
      <alignment/>
    </xf>
    <xf numFmtId="164" fontId="36" fillId="2" borderId="1" xfId="0" applyFont="1" applyFill="1" applyBorder="1" applyAlignment="1">
      <alignment horizontal="center" wrapText="1"/>
    </xf>
    <xf numFmtId="164" fontId="36" fillId="0" borderId="1" xfId="0" applyFont="1" applyBorder="1" applyAlignment="1">
      <alignment horizontal="right" wrapText="1"/>
    </xf>
    <xf numFmtId="164" fontId="40" fillId="0" borderId="0" xfId="0" applyFont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Alignment="1" applyProtection="1">
      <alignment horizontal="right"/>
      <protection/>
    </xf>
    <xf numFmtId="164" fontId="5" fillId="0" borderId="0" xfId="0" applyFont="1" applyBorder="1" applyAlignment="1" applyProtection="1">
      <alignment horizontal="right"/>
      <protection/>
    </xf>
    <xf numFmtId="164" fontId="5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 applyProtection="1">
      <alignment/>
      <protection/>
    </xf>
    <xf numFmtId="164" fontId="32" fillId="0" borderId="0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>
      <alignment horizontal="left" wrapText="1"/>
    </xf>
    <xf numFmtId="164" fontId="41" fillId="0" borderId="0" xfId="0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/>
    </xf>
    <xf numFmtId="164" fontId="9" fillId="0" borderId="0" xfId="0" applyFont="1" applyFill="1" applyAlignment="1">
      <alignment horizontal="center" vertical="center"/>
    </xf>
    <xf numFmtId="164" fontId="42" fillId="0" borderId="0" xfId="0" applyFont="1" applyFill="1" applyAlignment="1">
      <alignment horizontal="center" vertical="center"/>
    </xf>
    <xf numFmtId="164" fontId="0" fillId="0" borderId="0" xfId="0" applyFont="1" applyBorder="1" applyAlignment="1">
      <alignment horizontal="center" wrapText="1"/>
    </xf>
    <xf numFmtId="164" fontId="3" fillId="2" borderId="1" xfId="0" applyFont="1" applyFill="1" applyBorder="1" applyAlignment="1">
      <alignment horizontal="right"/>
    </xf>
    <xf numFmtId="172" fontId="0" fillId="2" borderId="1" xfId="0" applyNumberFormat="1" applyFont="1" applyFill="1" applyBorder="1" applyAlignment="1">
      <alignment horizontal="right"/>
    </xf>
    <xf numFmtId="166" fontId="0" fillId="2" borderId="1" xfId="0" applyNumberFormat="1" applyFont="1" applyFill="1" applyBorder="1" applyAlignment="1">
      <alignment/>
    </xf>
    <xf numFmtId="164" fontId="0" fillId="2" borderId="1" xfId="0" applyFont="1" applyFill="1" applyBorder="1" applyAlignment="1">
      <alignment/>
    </xf>
    <xf numFmtId="164" fontId="0" fillId="0" borderId="0" xfId="0" applyAlignment="1">
      <alignment wrapText="1"/>
    </xf>
    <xf numFmtId="164" fontId="0" fillId="0" borderId="0" xfId="0" applyNumberFormat="1" applyAlignment="1">
      <alignment/>
    </xf>
    <xf numFmtId="164" fontId="0" fillId="0" borderId="0" xfId="0" applyFont="1" applyFill="1" applyAlignment="1">
      <alignment wrapText="1"/>
    </xf>
    <xf numFmtId="164" fontId="3" fillId="2" borderId="1" xfId="0" applyFont="1" applyFill="1" applyBorder="1" applyAlignment="1">
      <alignment horizontal="right" wrapText="1"/>
    </xf>
    <xf numFmtId="172" fontId="0" fillId="2" borderId="1" xfId="0" applyNumberFormat="1" applyFill="1" applyBorder="1" applyAlignment="1">
      <alignment horizontal="right"/>
    </xf>
    <xf numFmtId="172" fontId="0" fillId="2" borderId="1" xfId="0" applyNumberFormat="1" applyFill="1" applyBorder="1" applyAlignment="1">
      <alignment/>
    </xf>
    <xf numFmtId="166" fontId="0" fillId="2" borderId="1" xfId="0" applyNumberFormat="1" applyFill="1" applyBorder="1" applyAlignment="1">
      <alignment/>
    </xf>
    <xf numFmtId="164" fontId="0" fillId="2" borderId="1" xfId="0" applyFill="1" applyBorder="1" applyAlignment="1">
      <alignment/>
    </xf>
    <xf numFmtId="164" fontId="43" fillId="0" borderId="3" xfId="0" applyFont="1" applyBorder="1" applyAlignment="1">
      <alignment/>
    </xf>
    <xf numFmtId="164" fontId="43" fillId="0" borderId="3" xfId="0" applyFont="1" applyFill="1" applyBorder="1" applyAlignment="1">
      <alignment/>
    </xf>
    <xf numFmtId="166" fontId="43" fillId="0" borderId="3" xfId="0" applyNumberFormat="1" applyFont="1" applyFill="1" applyBorder="1" applyAlignment="1">
      <alignment/>
    </xf>
    <xf numFmtId="164" fontId="43" fillId="2" borderId="3" xfId="0" applyFont="1" applyFill="1" applyBorder="1" applyAlignment="1">
      <alignment/>
    </xf>
    <xf numFmtId="164" fontId="43" fillId="0" borderId="1" xfId="0" applyFont="1" applyBorder="1" applyAlignment="1">
      <alignment/>
    </xf>
    <xf numFmtId="164" fontId="10" fillId="0" borderId="1" xfId="0" applyFont="1" applyBorder="1" applyAlignment="1">
      <alignment/>
    </xf>
    <xf numFmtId="168" fontId="43" fillId="0" borderId="1" xfId="0" applyNumberFormat="1" applyFont="1" applyBorder="1" applyAlignment="1">
      <alignment horizontal="center"/>
    </xf>
    <xf numFmtId="164" fontId="9" fillId="0" borderId="0" xfId="0" applyFont="1" applyBorder="1" applyAlignment="1">
      <alignment horizontal="right"/>
    </xf>
    <xf numFmtId="168" fontId="9" fillId="0" borderId="1" xfId="0" applyNumberFormat="1" applyFont="1" applyBorder="1" applyAlignment="1">
      <alignment/>
    </xf>
    <xf numFmtId="164" fontId="0" fillId="0" borderId="1" xfId="0" applyFont="1" applyFill="1" applyBorder="1" applyAlignment="1">
      <alignment/>
    </xf>
    <xf numFmtId="164" fontId="0" fillId="4" borderId="1" xfId="0" applyFont="1" applyFill="1" applyBorder="1" applyAlignment="1">
      <alignment/>
    </xf>
    <xf numFmtId="166" fontId="9" fillId="0" borderId="1" xfId="0" applyNumberFormat="1" applyFont="1" applyFill="1" applyBorder="1" applyAlignment="1">
      <alignment/>
    </xf>
    <xf numFmtId="169" fontId="9" fillId="0" borderId="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4" fontId="3" fillId="0" borderId="1" xfId="0" applyFont="1" applyFill="1" applyBorder="1" applyAlignment="1">
      <alignment horizontal="center"/>
    </xf>
    <xf numFmtId="164" fontId="3" fillId="5" borderId="1" xfId="0" applyFont="1" applyFill="1" applyBorder="1" applyAlignment="1">
      <alignment/>
    </xf>
    <xf numFmtId="168" fontId="9" fillId="0" borderId="1" xfId="0" applyNumberFormat="1" applyFont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4" fontId="0" fillId="2" borderId="1" xfId="0" applyFont="1" applyFill="1" applyBorder="1" applyAlignment="1">
      <alignment wrapText="1"/>
    </xf>
    <xf numFmtId="164" fontId="0" fillId="0" borderId="1" xfId="0" applyFont="1" applyFill="1" applyBorder="1" applyAlignment="1">
      <alignment horizontal="center" wrapText="1"/>
    </xf>
    <xf numFmtId="164" fontId="0" fillId="0" borderId="1" xfId="0" applyFont="1" applyBorder="1" applyAlignment="1">
      <alignment/>
    </xf>
    <xf numFmtId="164" fontId="44" fillId="0" borderId="0" xfId="0" applyFont="1" applyAlignment="1">
      <alignment horizontal="center"/>
    </xf>
    <xf numFmtId="164" fontId="0" fillId="2" borderId="1" xfId="0" applyFont="1" applyFill="1" applyBorder="1" applyAlignment="1">
      <alignment horizontal="center"/>
    </xf>
    <xf numFmtId="168" fontId="0" fillId="2" borderId="1" xfId="0" applyNumberFormat="1" applyFill="1" applyBorder="1" applyAlignment="1">
      <alignment/>
    </xf>
    <xf numFmtId="164" fontId="3" fillId="5" borderId="0" xfId="0" applyFont="1" applyFill="1" applyBorder="1" applyAlignment="1">
      <alignment horizontal="right" wrapText="1"/>
    </xf>
    <xf numFmtId="168" fontId="0" fillId="0" borderId="1" xfId="0" applyNumberFormat="1" applyFill="1" applyBorder="1" applyAlignment="1">
      <alignment horizontal="center"/>
    </xf>
    <xf numFmtId="164" fontId="0" fillId="0" borderId="0" xfId="0" applyFill="1" applyAlignment="1">
      <alignment/>
    </xf>
    <xf numFmtId="168" fontId="0" fillId="0" borderId="1" xfId="0" applyNumberFormat="1" applyBorder="1" applyAlignment="1">
      <alignment/>
    </xf>
    <xf numFmtId="164" fontId="0" fillId="0" borderId="1" xfId="0" applyFont="1" applyBorder="1" applyAlignment="1">
      <alignment horizontal="right"/>
    </xf>
    <xf numFmtId="168" fontId="0" fillId="0" borderId="1" xfId="0" applyNumberFormat="1" applyBorder="1" applyAlignment="1">
      <alignment horizontal="center"/>
    </xf>
    <xf numFmtId="164" fontId="3" fillId="5" borderId="1" xfId="0" applyFont="1" applyFill="1" applyBorder="1" applyAlignment="1">
      <alignment horizontal="right" wrapText="1"/>
    </xf>
    <xf numFmtId="166" fontId="0" fillId="0" borderId="3" xfId="0" applyNumberFormat="1" applyBorder="1" applyAlignment="1">
      <alignment horizontal="center" vertical="center"/>
    </xf>
    <xf numFmtId="164" fontId="0" fillId="0" borderId="0" xfId="0" applyFont="1" applyAlignment="1">
      <alignment wrapText="1"/>
    </xf>
    <xf numFmtId="164" fontId="45" fillId="0" borderId="0" xfId="0" applyFont="1" applyBorder="1" applyAlignment="1">
      <alignment horizontal="center" vertical="center"/>
    </xf>
    <xf numFmtId="164" fontId="46" fillId="0" borderId="0" xfId="0" applyFont="1" applyBorder="1" applyAlignment="1">
      <alignment horizontal="left" vertical="center" wrapText="1"/>
    </xf>
    <xf numFmtId="164" fontId="8" fillId="0" borderId="0" xfId="0" applyFont="1" applyAlignment="1">
      <alignment/>
    </xf>
    <xf numFmtId="164" fontId="8" fillId="0" borderId="0" xfId="0" applyFont="1" applyAlignment="1">
      <alignment vertical="center"/>
    </xf>
    <xf numFmtId="164" fontId="8" fillId="0" borderId="0" xfId="0" applyFont="1" applyAlignment="1">
      <alignment horizontal="right" vertical="center"/>
    </xf>
    <xf numFmtId="164" fontId="47" fillId="2" borderId="1" xfId="0" applyFont="1" applyFill="1" applyBorder="1" applyAlignment="1">
      <alignment vertical="center"/>
    </xf>
    <xf numFmtId="164" fontId="47" fillId="2" borderId="1" xfId="0" applyFont="1" applyFill="1" applyBorder="1" applyAlignment="1">
      <alignment horizontal="center" vertical="center"/>
    </xf>
    <xf numFmtId="164" fontId="47" fillId="2" borderId="1" xfId="0" applyFont="1" applyFill="1" applyBorder="1" applyAlignment="1">
      <alignment horizontal="center" vertical="center" wrapText="1"/>
    </xf>
    <xf numFmtId="164" fontId="48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vertical="center" wrapText="1"/>
    </xf>
    <xf numFmtId="165" fontId="0" fillId="0" borderId="1" xfId="0" applyNumberFormat="1" applyBorder="1" applyAlignment="1">
      <alignment vertical="center"/>
    </xf>
    <xf numFmtId="164" fontId="8" fillId="0" borderId="1" xfId="0" applyFont="1" applyBorder="1" applyAlignment="1">
      <alignment vertical="center"/>
    </xf>
    <xf numFmtId="166" fontId="8" fillId="0" borderId="1" xfId="0" applyNumberFormat="1" applyFont="1" applyFill="1" applyBorder="1" applyAlignment="1">
      <alignment vertical="center"/>
    </xf>
    <xf numFmtId="164" fontId="8" fillId="0" borderId="1" xfId="0" applyFont="1" applyBorder="1" applyAlignment="1">
      <alignment horizontal="left" vertical="center" indent="1"/>
    </xf>
    <xf numFmtId="167" fontId="8" fillId="0" borderId="1" xfId="0" applyNumberFormat="1" applyFont="1" applyBorder="1" applyAlignment="1">
      <alignment horizontal="center" vertical="center"/>
    </xf>
    <xf numFmtId="164" fontId="0" fillId="0" borderId="0" xfId="0" applyAlignment="1">
      <alignment vertical="center"/>
    </xf>
    <xf numFmtId="165" fontId="0" fillId="0" borderId="0" xfId="0" applyNumberFormat="1" applyAlignment="1" applyProtection="1">
      <alignment/>
      <protection/>
    </xf>
    <xf numFmtId="164" fontId="49" fillId="0" borderId="0" xfId="0" applyFont="1" applyFill="1" applyBorder="1" applyAlignment="1">
      <alignment horizontal="center" vertical="center" wrapText="1"/>
    </xf>
    <xf numFmtId="164" fontId="0" fillId="0" borderId="0" xfId="0" applyFill="1" applyAlignment="1">
      <alignment vertical="center"/>
    </xf>
    <xf numFmtId="164" fontId="46" fillId="0" borderId="0" xfId="0" applyFont="1" applyBorder="1" applyAlignment="1">
      <alignment horizontal="left" wrapText="1"/>
    </xf>
    <xf numFmtId="164" fontId="47" fillId="0" borderId="0" xfId="0" applyFont="1" applyFill="1" applyAlignment="1">
      <alignment vertical="center"/>
    </xf>
    <xf numFmtId="164" fontId="47" fillId="0" borderId="0" xfId="0" applyFont="1" applyFill="1" applyAlignment="1">
      <alignment horizontal="right" vertical="center"/>
    </xf>
    <xf numFmtId="164" fontId="8" fillId="0" borderId="0" xfId="0" applyFont="1" applyFill="1" applyAlignment="1">
      <alignment horizontal="right" vertical="center"/>
    </xf>
    <xf numFmtId="164" fontId="50" fillId="2" borderId="1" xfId="0" applyFont="1" applyFill="1" applyBorder="1" applyAlignment="1">
      <alignment horizontal="center" vertical="center"/>
    </xf>
    <xf numFmtId="164" fontId="50" fillId="2" borderId="1" xfId="0" applyFont="1" applyFill="1" applyBorder="1" applyAlignment="1">
      <alignment horizontal="center" vertical="center" wrapText="1"/>
    </xf>
    <xf numFmtId="164" fontId="47" fillId="0" borderId="1" xfId="0" applyFont="1" applyBorder="1" applyAlignment="1">
      <alignment horizontal="center" vertical="top"/>
    </xf>
    <xf numFmtId="164" fontId="51" fillId="0" borderId="1" xfId="0" applyFont="1" applyBorder="1" applyAlignment="1">
      <alignment vertical="center" wrapText="1"/>
    </xf>
    <xf numFmtId="166" fontId="0" fillId="0" borderId="1" xfId="0" applyNumberFormat="1" applyBorder="1" applyAlignment="1">
      <alignment vertical="center"/>
    </xf>
    <xf numFmtId="170" fontId="0" fillId="0" borderId="1" xfId="0" applyNumberFormat="1" applyBorder="1" applyAlignment="1">
      <alignment vertical="center"/>
    </xf>
    <xf numFmtId="166" fontId="0" fillId="2" borderId="1" xfId="0" applyNumberFormat="1" applyFill="1" applyBorder="1" applyAlignment="1">
      <alignment vertical="center"/>
    </xf>
    <xf numFmtId="170" fontId="0" fillId="3" borderId="1" xfId="0" applyNumberFormat="1" applyFill="1" applyBorder="1" applyAlignment="1">
      <alignment vertical="center"/>
    </xf>
    <xf numFmtId="170" fontId="8" fillId="0" borderId="1" xfId="0" applyNumberFormat="1" applyFont="1" applyFill="1" applyBorder="1" applyAlignment="1">
      <alignment vertical="center"/>
    </xf>
    <xf numFmtId="170" fontId="0" fillId="0" borderId="1" xfId="0" applyNumberFormat="1" applyFill="1" applyBorder="1" applyAlignment="1">
      <alignment vertical="center"/>
    </xf>
    <xf numFmtId="164" fontId="51" fillId="0" borderId="1" xfId="0" applyFont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8" fontId="0" fillId="0" borderId="1" xfId="0" applyNumberFormat="1" applyFill="1" applyBorder="1" applyAlignment="1" applyProtection="1">
      <alignment vertical="center"/>
      <protection/>
    </xf>
    <xf numFmtId="168" fontId="0" fillId="0" borderId="1" xfId="0" applyNumberFormat="1" applyFont="1" applyFill="1" applyBorder="1" applyAlignment="1">
      <alignment horizontal="right" vertical="center" wrapText="1"/>
    </xf>
    <xf numFmtId="168" fontId="4" fillId="0" borderId="1" xfId="0" applyNumberFormat="1" applyFont="1" applyFill="1" applyBorder="1" applyAlignment="1" applyProtection="1">
      <alignment vertical="center"/>
      <protection locked="0"/>
    </xf>
    <xf numFmtId="168" fontId="0" fillId="0" borderId="1" xfId="0" applyNumberFormat="1" applyFont="1" applyFill="1" applyBorder="1" applyAlignment="1">
      <alignment horizontal="right" vertical="center"/>
    </xf>
    <xf numFmtId="168" fontId="0" fillId="0" borderId="1" xfId="0" applyNumberFormat="1" applyFill="1" applyBorder="1" applyAlignment="1">
      <alignment vertical="center"/>
    </xf>
    <xf numFmtId="166" fontId="0" fillId="0" borderId="1" xfId="0" applyNumberFormat="1" applyFill="1" applyBorder="1" applyAlignment="1">
      <alignment vertical="center"/>
    </xf>
    <xf numFmtId="166" fontId="0" fillId="0" borderId="1" xfId="0" applyNumberFormat="1" applyFont="1" applyFill="1" applyBorder="1" applyAlignment="1">
      <alignment vertical="center"/>
    </xf>
    <xf numFmtId="167" fontId="0" fillId="0" borderId="1" xfId="0" applyNumberFormat="1" applyBorder="1" applyAlignment="1">
      <alignment vertical="center"/>
    </xf>
    <xf numFmtId="164" fontId="0" fillId="0" borderId="0" xfId="0" applyAlignment="1" applyProtection="1">
      <alignment vertical="center"/>
      <protection/>
    </xf>
    <xf numFmtId="167" fontId="0" fillId="0" borderId="0" xfId="0" applyNumberFormat="1" applyAlignment="1" applyProtection="1">
      <alignment vertical="center"/>
      <protection/>
    </xf>
    <xf numFmtId="164" fontId="45" fillId="0" borderId="0" xfId="0" applyFont="1" applyAlignment="1" applyProtection="1">
      <alignment vertical="center"/>
      <protection/>
    </xf>
    <xf numFmtId="165" fontId="0" fillId="0" borderId="0" xfId="0" applyNumberFormat="1" applyAlignment="1" applyProtection="1">
      <alignment vertical="center"/>
      <protection/>
    </xf>
    <xf numFmtId="164" fontId="8" fillId="0" borderId="0" xfId="0" applyFont="1" applyAlignment="1" applyProtection="1">
      <alignment horizontal="center" vertical="center"/>
      <protection/>
    </xf>
    <xf numFmtId="164" fontId="8" fillId="0" borderId="0" xfId="0" applyFont="1" applyAlignment="1" applyProtection="1">
      <alignment vertical="center" wrapText="1"/>
      <protection/>
    </xf>
    <xf numFmtId="173" fontId="0" fillId="0" borderId="0" xfId="0" applyNumberFormat="1" applyAlignment="1" applyProtection="1">
      <alignment vertical="center"/>
      <protection/>
    </xf>
    <xf numFmtId="164" fontId="3" fillId="0" borderId="0" xfId="0" applyFont="1" applyAlignment="1">
      <alignment horizontal="center"/>
    </xf>
    <xf numFmtId="164" fontId="0" fillId="0" borderId="0" xfId="0" applyFont="1" applyBorder="1" applyAlignment="1">
      <alignment horizontal="right"/>
    </xf>
    <xf numFmtId="174" fontId="0" fillId="0" borderId="0" xfId="0" applyNumberFormat="1" applyFont="1" applyFill="1" applyBorder="1" applyAlignment="1">
      <alignment horizontal="left"/>
    </xf>
    <xf numFmtId="172" fontId="41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3" fillId="2" borderId="1" xfId="0" applyFont="1" applyFill="1" applyBorder="1" applyAlignment="1" applyProtection="1">
      <alignment horizontal="center" vertical="center"/>
      <protection/>
    </xf>
    <xf numFmtId="164" fontId="33" fillId="2" borderId="1" xfId="0" applyFont="1" applyFill="1" applyBorder="1" applyAlignment="1" applyProtection="1">
      <alignment horizontal="center" vertical="center" wrapText="1"/>
      <protection locked="0"/>
    </xf>
    <xf numFmtId="164" fontId="33" fillId="3" borderId="1" xfId="0" applyFont="1" applyFill="1" applyBorder="1" applyAlignment="1" applyProtection="1">
      <alignment horizontal="center" vertical="center" wrapText="1"/>
      <protection locked="0"/>
    </xf>
    <xf numFmtId="164" fontId="3" fillId="6" borderId="1" xfId="0" applyFont="1" applyFill="1" applyBorder="1" applyAlignment="1" applyProtection="1">
      <alignment vertical="center" wrapText="1"/>
      <protection/>
    </xf>
    <xf numFmtId="166" fontId="33" fillId="6" borderId="1" xfId="0" applyNumberFormat="1" applyFont="1" applyFill="1" applyBorder="1" applyAlignment="1" applyProtection="1">
      <alignment vertical="center"/>
      <protection/>
    </xf>
    <xf numFmtId="164" fontId="0" fillId="6" borderId="1" xfId="0" applyFont="1" applyFill="1" applyBorder="1" applyAlignment="1" applyProtection="1">
      <alignment vertical="center" wrapText="1"/>
      <protection/>
    </xf>
    <xf numFmtId="166" fontId="31" fillId="0" borderId="1" xfId="0" applyNumberFormat="1" applyFont="1" applyFill="1" applyBorder="1" applyAlignment="1" applyProtection="1">
      <alignment vertical="center"/>
      <protection locked="0"/>
    </xf>
    <xf numFmtId="166" fontId="0" fillId="0" borderId="1" xfId="0" applyNumberFormat="1" applyFont="1" applyFill="1" applyBorder="1" applyAlignment="1" applyProtection="1">
      <alignment vertical="center"/>
      <protection locked="0"/>
    </xf>
    <xf numFmtId="166" fontId="0" fillId="6" borderId="1" xfId="0" applyNumberFormat="1" applyFont="1" applyFill="1" applyBorder="1" applyAlignment="1" applyProtection="1">
      <alignment vertical="center"/>
      <protection locked="0"/>
    </xf>
    <xf numFmtId="166" fontId="31" fillId="2" borderId="1" xfId="0" applyNumberFormat="1" applyFont="1" applyFill="1" applyBorder="1" applyAlignment="1" applyProtection="1">
      <alignment vertical="center"/>
      <protection locked="0"/>
    </xf>
    <xf numFmtId="166" fontId="31" fillId="6" borderId="1" xfId="0" applyNumberFormat="1" applyFont="1" applyFill="1" applyBorder="1" applyAlignment="1" applyProtection="1">
      <alignment vertical="center"/>
      <protection locked="0"/>
    </xf>
    <xf numFmtId="175" fontId="31" fillId="6" borderId="1" xfId="0" applyNumberFormat="1" applyFont="1" applyFill="1" applyBorder="1" applyAlignment="1" applyProtection="1">
      <alignment vertical="center"/>
      <protection locked="0"/>
    </xf>
    <xf numFmtId="166" fontId="53" fillId="6" borderId="1" xfId="0" applyNumberFormat="1" applyFont="1" applyFill="1" applyBorder="1" applyAlignment="1" applyProtection="1">
      <alignment vertical="center"/>
      <protection/>
    </xf>
    <xf numFmtId="166" fontId="0" fillId="6" borderId="1" xfId="0" applyNumberFormat="1" applyFont="1" applyFill="1" applyBorder="1" applyAlignment="1" applyProtection="1">
      <alignment vertical="center"/>
      <protection/>
    </xf>
    <xf numFmtId="167" fontId="3" fillId="6" borderId="1" xfId="0" applyNumberFormat="1" applyFont="1" applyFill="1" applyBorder="1" applyAlignment="1" applyProtection="1">
      <alignment horizontal="center" vertical="center"/>
      <protection/>
    </xf>
    <xf numFmtId="166" fontId="33" fillId="2" borderId="1" xfId="0" applyNumberFormat="1" applyFont="1" applyFill="1" applyBorder="1" applyAlignment="1" applyProtection="1">
      <alignment vertical="center"/>
      <protection locked="0"/>
    </xf>
    <xf numFmtId="176" fontId="3" fillId="6" borderId="1" xfId="0" applyNumberFormat="1" applyFont="1" applyFill="1" applyBorder="1" applyAlignment="1" applyProtection="1">
      <alignment horizontal="center" vertical="center"/>
      <protection/>
    </xf>
    <xf numFmtId="174" fontId="0" fillId="0" borderId="0" xfId="0" applyNumberFormat="1" applyFill="1" applyBorder="1" applyAlignment="1">
      <alignment horizontal="left"/>
    </xf>
    <xf numFmtId="165" fontId="9" fillId="0" borderId="0" xfId="0" applyNumberFormat="1" applyFont="1" applyFill="1" applyAlignment="1" applyProtection="1">
      <alignment/>
      <protection hidden="1"/>
    </xf>
    <xf numFmtId="165" fontId="0" fillId="0" borderId="0" xfId="0" applyNumberFormat="1" applyFill="1" applyAlignment="1" applyProtection="1">
      <alignment vertical="center"/>
      <protection/>
    </xf>
    <xf numFmtId="164" fontId="0" fillId="0" borderId="0" xfId="0" applyFont="1" applyAlignment="1">
      <alignment horizontal="right" wrapText="1"/>
    </xf>
    <xf numFmtId="165" fontId="0" fillId="2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75" fontId="0" fillId="0" borderId="0" xfId="0" applyNumberFormat="1" applyFill="1" applyAlignment="1">
      <alignment/>
    </xf>
    <xf numFmtId="165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/>
    </xf>
    <xf numFmtId="166" fontId="3" fillId="2" borderId="0" xfId="0" applyNumberFormat="1" applyFont="1" applyFill="1" applyAlignment="1">
      <alignment horizontal="center"/>
    </xf>
    <xf numFmtId="166" fontId="3" fillId="0" borderId="0" xfId="0" applyNumberFormat="1" applyFont="1" applyAlignment="1">
      <alignment horizontal="center"/>
    </xf>
    <xf numFmtId="166" fontId="0" fillId="2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6" fontId="0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workbookViewId="0" topLeftCell="A1">
      <selection activeCell="F41" sqref="F41"/>
    </sheetView>
  </sheetViews>
  <sheetFormatPr defaultColWidth="12.57421875" defaultRowHeight="12.75"/>
  <cols>
    <col min="1" max="1" width="4.00390625" style="0" customWidth="1"/>
    <col min="2" max="2" width="40.7109375" style="0" customWidth="1"/>
    <col min="3" max="23" width="14.00390625" style="0" customWidth="1"/>
    <col min="24" max="27" width="15.00390625" style="0" customWidth="1"/>
    <col min="28" max="16384" width="11.57421875" style="0" customWidth="1"/>
  </cols>
  <sheetData>
    <row r="1" spans="2:27" ht="13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1</v>
      </c>
      <c r="Z1" s="3"/>
      <c r="AA1" s="3"/>
    </row>
    <row r="2" spans="2:27" ht="13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 t="str">
        <f>zał3!J2</f>
        <v>Do Zarządzenia Nr </v>
      </c>
      <c r="Z2" s="5" t="str">
        <f>zał3!K2</f>
        <v>471/VII/2012</v>
      </c>
      <c r="AA2" s="5"/>
    </row>
    <row r="3" spans="2:27" ht="13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 t="str">
        <f>zał3!J3</f>
        <v>Burmistrza Gołdapi</v>
      </c>
      <c r="Z3" s="3"/>
      <c r="AA3" s="3"/>
    </row>
    <row r="4" spans="2:27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 t="str">
        <f>zał3!J4</f>
        <v>z dnia  26 lipca 2012r.</v>
      </c>
      <c r="Z4" s="3"/>
      <c r="AA4" s="3"/>
    </row>
    <row r="5" spans="6:27" ht="7.5" customHeight="1">
      <c r="F5" s="6"/>
      <c r="Y5" s="7"/>
      <c r="Z5" s="7"/>
      <c r="AA5" s="7"/>
    </row>
    <row r="6" spans="1:27" ht="12.75" customHeight="1">
      <c r="A6" s="8" t="s">
        <v>2</v>
      </c>
      <c r="B6" s="8" t="s">
        <v>3</v>
      </c>
      <c r="C6" s="8" t="s">
        <v>4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>
      <c r="A7" s="8"/>
      <c r="B7" s="8"/>
      <c r="C7" s="9">
        <v>2008</v>
      </c>
      <c r="D7" s="9">
        <v>2009</v>
      </c>
      <c r="E7" s="9">
        <v>2010</v>
      </c>
      <c r="F7" s="10">
        <v>2011</v>
      </c>
      <c r="G7" s="11">
        <v>2012</v>
      </c>
      <c r="H7" s="9">
        <v>2013</v>
      </c>
      <c r="I7" s="9">
        <v>2014</v>
      </c>
      <c r="J7" s="9">
        <v>2015</v>
      </c>
      <c r="K7" s="9">
        <v>2016</v>
      </c>
      <c r="L7" s="9">
        <v>2017</v>
      </c>
      <c r="M7" s="9">
        <v>2018</v>
      </c>
      <c r="N7" s="9">
        <v>2019</v>
      </c>
      <c r="O7" s="9">
        <v>2020</v>
      </c>
      <c r="P7" s="9">
        <v>2021</v>
      </c>
      <c r="Q7" s="9">
        <v>2022</v>
      </c>
      <c r="R7" s="9">
        <v>2023</v>
      </c>
      <c r="S7" s="9">
        <v>2024</v>
      </c>
      <c r="T7" s="9">
        <v>2025</v>
      </c>
      <c r="U7" s="9">
        <v>2026</v>
      </c>
      <c r="V7" s="9">
        <v>2027</v>
      </c>
      <c r="W7" s="9">
        <v>2028</v>
      </c>
      <c r="X7" s="9">
        <v>2029</v>
      </c>
      <c r="Y7" s="9">
        <v>2030</v>
      </c>
      <c r="Z7" s="9">
        <v>2031</v>
      </c>
      <c r="AA7" s="9">
        <v>2032</v>
      </c>
    </row>
    <row r="8" spans="1:27" ht="12.75">
      <c r="A8" s="12">
        <v>1</v>
      </c>
      <c r="B8" s="13" t="s">
        <v>5</v>
      </c>
      <c r="C8" s="14">
        <f>SUM(C9:C10)</f>
        <v>56602913</v>
      </c>
      <c r="D8" s="14">
        <f>SUM(D9:D10)</f>
        <v>65638462</v>
      </c>
      <c r="E8" s="14">
        <f>SUM(E9:E10)</f>
        <v>76066696.03</v>
      </c>
      <c r="F8" s="14">
        <f>SUM(F9:F10)</f>
        <v>72674133.27</v>
      </c>
      <c r="G8" s="14">
        <f>SUM(G9:G10)</f>
        <v>89920637.13</v>
      </c>
      <c r="H8" s="14">
        <f>SUM(H9:H10)</f>
        <v>70107213.24003</v>
      </c>
      <c r="I8" s="14">
        <f>SUM(I9:I10)</f>
        <v>67528175.64647093</v>
      </c>
      <c r="J8" s="14">
        <f>SUM(J9:J10)</f>
        <v>69617908.40751153</v>
      </c>
      <c r="K8" s="14">
        <f>SUM(K9:K10)</f>
        <v>71772313.66362439</v>
      </c>
      <c r="L8" s="14">
        <f>SUM(L9:L10)</f>
        <v>73993392.98554115</v>
      </c>
      <c r="M8" s="14">
        <f>SUM(M9:M10)</f>
        <v>76283209.89438766</v>
      </c>
      <c r="N8" s="14">
        <f>SUM(N9:N10)</f>
        <v>78643891.77919726</v>
      </c>
      <c r="O8" s="14">
        <f>SUM(O9:O10)</f>
        <v>81077631.87377845</v>
      </c>
      <c r="P8" s="14">
        <f>SUM(P9:P10)</f>
        <v>83586691.29477446</v>
      </c>
      <c r="Q8" s="14">
        <f>SUM(Q9:Q10)</f>
        <v>86173401.14280859</v>
      </c>
      <c r="R8" s="14">
        <f>SUM(R9:R10)</f>
        <v>88840164.66866866</v>
      </c>
      <c r="S8" s="14">
        <f>SUM(S9:S10)</f>
        <v>91589459.50654338</v>
      </c>
      <c r="T8" s="14">
        <f>SUM(T9:T10)</f>
        <v>94423839.97638662</v>
      </c>
      <c r="U8" s="14">
        <f>SUM(U9:U10)</f>
        <v>97345939.4575492</v>
      </c>
      <c r="V8" s="14">
        <f>SUM(V9:V10)</f>
        <v>100358472.83588466</v>
      </c>
      <c r="W8" s="14">
        <f>SUM(W9:W10)</f>
        <v>103464239.02660306</v>
      </c>
      <c r="X8" s="14">
        <f>SUM(X9:X10)</f>
        <v>106666123.5752179</v>
      </c>
      <c r="Y8" s="14">
        <f>SUM(Y9:Y10)</f>
        <v>109967101.33900353</v>
      </c>
      <c r="Z8" s="14">
        <f>SUM(Z9:Z10)</f>
        <v>113370239.25145511</v>
      </c>
      <c r="AA8" s="14">
        <f>SUM(AA9:AA10)</f>
        <v>116878699.17232098</v>
      </c>
    </row>
    <row r="9" spans="1:27" ht="12.75">
      <c r="A9" s="15" t="s">
        <v>6</v>
      </c>
      <c r="B9" s="16" t="s">
        <v>7</v>
      </c>
      <c r="C9" s="17">
        <v>48236781</v>
      </c>
      <c r="D9" s="17">
        <v>54877794</v>
      </c>
      <c r="E9" s="18">
        <f>zał2!D9</f>
        <v>59404315.82</v>
      </c>
      <c r="F9" s="18">
        <f>zał2!E9</f>
        <v>61924678.14</v>
      </c>
      <c r="G9" s="18">
        <f>zał2!F9</f>
        <v>60103326.13</v>
      </c>
      <c r="H9" s="18">
        <f>zał2!G9</f>
        <v>61966529.240030006</v>
      </c>
      <c r="I9" s="18">
        <f>zał2!H9</f>
        <v>63887491.646470934</v>
      </c>
      <c r="J9" s="18">
        <f>zał2!I9</f>
        <v>65868003.88751154</v>
      </c>
      <c r="K9" s="18">
        <f>zał2!J9</f>
        <v>67909912.0080244</v>
      </c>
      <c r="L9" s="18">
        <f>zał2!K9</f>
        <v>70015119.28027315</v>
      </c>
      <c r="M9" s="18">
        <f>zał2!L9</f>
        <v>72185587.97796163</v>
      </c>
      <c r="N9" s="18">
        <f>zał2!M9</f>
        <v>74423341.20527844</v>
      </c>
      <c r="O9" s="18">
        <f>zał2!N9</f>
        <v>76730464.78264207</v>
      </c>
      <c r="P9" s="18">
        <f>zał2!O9</f>
        <v>79109109.19090398</v>
      </c>
      <c r="Q9" s="18">
        <f>zał2!P9</f>
        <v>81561491.575822</v>
      </c>
      <c r="R9" s="18">
        <f>zał2!Q9</f>
        <v>84089897.81467247</v>
      </c>
      <c r="S9" s="18">
        <f>zał2!R9</f>
        <v>86696684.64692731</v>
      </c>
      <c r="T9" s="18">
        <f>zał2!S9</f>
        <v>89384281.87098207</v>
      </c>
      <c r="U9" s="18">
        <f>zał2!T9</f>
        <v>92155194.6089825</v>
      </c>
      <c r="V9" s="18">
        <f>zał2!U9</f>
        <v>95012005.64186096</v>
      </c>
      <c r="W9" s="18">
        <f>zał2!V9</f>
        <v>97957377.81675865</v>
      </c>
      <c r="X9" s="18">
        <f>zał2!W9</f>
        <v>100994056.52907817</v>
      </c>
      <c r="Y9" s="18">
        <f>zał2!X9</f>
        <v>104124872.2814796</v>
      </c>
      <c r="Z9" s="18">
        <f>zał2!Y9</f>
        <v>107352743.32220547</v>
      </c>
      <c r="AA9" s="18">
        <f>zał2!Z9</f>
        <v>110680678.36519384</v>
      </c>
    </row>
    <row r="10" spans="1:27" ht="12.75">
      <c r="A10" s="15" t="s">
        <v>8</v>
      </c>
      <c r="B10" s="16" t="s">
        <v>9</v>
      </c>
      <c r="C10" s="17">
        <v>8366132</v>
      </c>
      <c r="D10" s="17">
        <v>10760668</v>
      </c>
      <c r="E10" s="18">
        <f>zał2!D10</f>
        <v>16662380.21</v>
      </c>
      <c r="F10" s="18">
        <f>zał2!E10</f>
        <v>10749455.13</v>
      </c>
      <c r="G10" s="18">
        <f>zał2!F10</f>
        <v>29817311</v>
      </c>
      <c r="H10" s="18">
        <f>zał2!G10</f>
        <v>8140684</v>
      </c>
      <c r="I10" s="18">
        <f>zał2!H10</f>
        <v>3640684</v>
      </c>
      <c r="J10" s="18">
        <f>zał2!I10</f>
        <v>3749904.52</v>
      </c>
      <c r="K10" s="18">
        <f>zał2!J10</f>
        <v>3862401.6556</v>
      </c>
      <c r="L10" s="18">
        <f>zał2!K10</f>
        <v>3978273.7052680003</v>
      </c>
      <c r="M10" s="18">
        <f>zał2!L10</f>
        <v>4097621.91642604</v>
      </c>
      <c r="N10" s="18">
        <f>zał2!M10</f>
        <v>4220550.573918821</v>
      </c>
      <c r="O10" s="18">
        <f>zał2!N10</f>
        <v>4347167.091136386</v>
      </c>
      <c r="P10" s="18">
        <f>zał2!O10</f>
        <v>4477582.1038704775</v>
      </c>
      <c r="Q10" s="18">
        <f>zał2!P10</f>
        <v>4611909.566986592</v>
      </c>
      <c r="R10" s="18">
        <f>zał2!Q10</f>
        <v>4750266.853996189</v>
      </c>
      <c r="S10" s="18">
        <f>zał2!R10</f>
        <v>4892774.859616075</v>
      </c>
      <c r="T10" s="18">
        <f>zał2!S10</f>
        <v>5039558.105404557</v>
      </c>
      <c r="U10" s="18">
        <f>zał2!T10</f>
        <v>5190744.848566693</v>
      </c>
      <c r="V10" s="18">
        <f>zał2!U10</f>
        <v>5346467.194023694</v>
      </c>
      <c r="W10" s="18">
        <f>zał2!V10</f>
        <v>5506861.209844405</v>
      </c>
      <c r="X10" s="18">
        <f>zał2!W10</f>
        <v>5672067.046139737</v>
      </c>
      <c r="Y10" s="18">
        <f>zał2!X10</f>
        <v>5842229.057523929</v>
      </c>
      <c r="Z10" s="18">
        <f>zał2!Y10</f>
        <v>6017495.929249646</v>
      </c>
      <c r="AA10" s="18">
        <f>zał2!Z10</f>
        <v>6198020.807127136</v>
      </c>
    </row>
    <row r="11" spans="1:27" ht="12.75">
      <c r="A11" s="15" t="s">
        <v>10</v>
      </c>
      <c r="B11" s="16" t="s">
        <v>11</v>
      </c>
      <c r="C11" s="17">
        <v>2943102</v>
      </c>
      <c r="D11" s="17">
        <v>1702924</v>
      </c>
      <c r="E11" s="18">
        <f>zał2!D11</f>
        <v>1908591.03</v>
      </c>
      <c r="F11" s="18">
        <f>zał2!E11</f>
        <v>1643757.32</v>
      </c>
      <c r="G11" s="18">
        <f>zał2!F11</f>
        <v>5910000</v>
      </c>
      <c r="H11" s="18">
        <f>zał2!G11</f>
        <v>6000000</v>
      </c>
      <c r="I11" s="18">
        <f>zał2!H11</f>
        <v>1500000</v>
      </c>
      <c r="J11" s="18">
        <f>zał2!I11</f>
        <v>1545000</v>
      </c>
      <c r="K11" s="18">
        <f>zał2!J11</f>
        <v>1591350</v>
      </c>
      <c r="L11" s="18">
        <f>zał2!K11</f>
        <v>1639090.5</v>
      </c>
      <c r="M11" s="18">
        <f>zał2!L11</f>
        <v>1688263.215</v>
      </c>
      <c r="N11" s="18">
        <f>zał2!M11</f>
        <v>1738911.1114500002</v>
      </c>
      <c r="O11" s="18">
        <f>zał2!N11</f>
        <v>1791078.4447935002</v>
      </c>
      <c r="P11" s="18">
        <f>zał2!O11</f>
        <v>1844810.7981373053</v>
      </c>
      <c r="Q11" s="18">
        <f>zał2!P11</f>
        <v>1900155.1220814246</v>
      </c>
      <c r="R11" s="18">
        <f>zał2!Q11</f>
        <v>1957159.7757438673</v>
      </c>
      <c r="S11" s="18">
        <f>zał2!R11</f>
        <v>2015874.5690161833</v>
      </c>
      <c r="T11" s="18">
        <f>zał2!S11</f>
        <v>2076350.8060866687</v>
      </c>
      <c r="U11" s="18">
        <f>zał2!T11</f>
        <v>2138641.3302692687</v>
      </c>
      <c r="V11" s="18">
        <f>zał2!U11</f>
        <v>2202800.570177347</v>
      </c>
      <c r="W11" s="18">
        <f>zał2!V11</f>
        <v>2268884.5872826674</v>
      </c>
      <c r="X11" s="18">
        <f>zał2!W11</f>
        <v>2336951.1249011476</v>
      </c>
      <c r="Y11" s="18">
        <f>zał2!X11</f>
        <v>2407059.658648182</v>
      </c>
      <c r="Z11" s="18">
        <f>zał2!Y11</f>
        <v>2479271.4484076276</v>
      </c>
      <c r="AA11" s="18">
        <f>zał2!Z11</f>
        <v>2553649.5918598566</v>
      </c>
    </row>
    <row r="12" spans="1:27" ht="36.75">
      <c r="A12" s="15" t="s">
        <v>12</v>
      </c>
      <c r="B12" s="19" t="s">
        <v>13</v>
      </c>
      <c r="C12" s="20" t="s">
        <v>14</v>
      </c>
      <c r="D12" s="17">
        <v>175433.62</v>
      </c>
      <c r="E12" s="21">
        <v>206904.9</v>
      </c>
      <c r="F12" s="21">
        <v>250061.36</v>
      </c>
      <c r="G12" s="21">
        <v>100000</v>
      </c>
      <c r="H12" s="18">
        <f>G12</f>
        <v>100000</v>
      </c>
      <c r="I12" s="18">
        <f>H12</f>
        <v>100000</v>
      </c>
      <c r="J12" s="18">
        <f>I12</f>
        <v>100000</v>
      </c>
      <c r="K12" s="18">
        <f>J12</f>
        <v>100000</v>
      </c>
      <c r="L12" s="18">
        <f>K12</f>
        <v>100000</v>
      </c>
      <c r="M12" s="18">
        <f>L12</f>
        <v>100000</v>
      </c>
      <c r="N12" s="18">
        <f>M12</f>
        <v>100000</v>
      </c>
      <c r="O12" s="18">
        <f>N12</f>
        <v>100000</v>
      </c>
      <c r="P12" s="18">
        <f>O12</f>
        <v>100000</v>
      </c>
      <c r="Q12" s="18">
        <f>P12</f>
        <v>100000</v>
      </c>
      <c r="R12" s="18">
        <f>Q12</f>
        <v>100000</v>
      </c>
      <c r="S12" s="18">
        <f>R12</f>
        <v>100000</v>
      </c>
      <c r="T12" s="18">
        <f>S12</f>
        <v>100000</v>
      </c>
      <c r="U12" s="18">
        <f>T12</f>
        <v>100000</v>
      </c>
      <c r="V12" s="18">
        <f>U12</f>
        <v>100000</v>
      </c>
      <c r="W12" s="18">
        <f>V12</f>
        <v>100000</v>
      </c>
      <c r="X12" s="18">
        <f>W12</f>
        <v>100000</v>
      </c>
      <c r="Y12" s="18">
        <f>X12</f>
        <v>100000</v>
      </c>
      <c r="Z12" s="18">
        <f>Y12</f>
        <v>100000</v>
      </c>
      <c r="AA12" s="18">
        <f>Z12</f>
        <v>100000</v>
      </c>
    </row>
    <row r="13" spans="1:27" ht="48.75">
      <c r="A13" s="12">
        <v>2</v>
      </c>
      <c r="B13" s="22" t="s">
        <v>15</v>
      </c>
      <c r="C13" s="17">
        <v>45362971</v>
      </c>
      <c r="D13" s="17">
        <v>50589750</v>
      </c>
      <c r="E13" s="18">
        <f>E57</f>
        <v>53228203.61</v>
      </c>
      <c r="F13" s="18">
        <f>F57</f>
        <v>52905908.55</v>
      </c>
      <c r="G13" s="18">
        <f>G57</f>
        <v>58020235.61</v>
      </c>
      <c r="H13" s="18">
        <f>H57</f>
        <v>48886961.92407</v>
      </c>
      <c r="I13" s="18">
        <f>I57</f>
        <v>50769250.49814</v>
      </c>
      <c r="J13" s="18">
        <f>J57</f>
        <v>52553357.20221</v>
      </c>
      <c r="K13" s="18">
        <f>K57</f>
        <v>54384771.77538</v>
      </c>
      <c r="L13" s="18">
        <f>L57</f>
        <v>56264913.453723006</v>
      </c>
      <c r="M13" s="18">
        <f>M57</f>
        <v>58195244.05039419</v>
      </c>
      <c r="N13" s="18">
        <f>N57</f>
        <v>60177269.77294342</v>
      </c>
      <c r="O13" s="18">
        <f>O57</f>
        <v>62151643.73234703</v>
      </c>
      <c r="P13" s="18">
        <f>P57</f>
        <v>64088011.75410864</v>
      </c>
      <c r="Q13" s="18">
        <f>Q57</f>
        <v>66080867.845612995</v>
      </c>
      <c r="R13" s="18">
        <f>R57</f>
        <v>68131906.64895238</v>
      </c>
      <c r="S13" s="18">
        <f>S57</f>
        <v>70242873.64548185</v>
      </c>
      <c r="T13" s="18">
        <f>T57</f>
        <v>72415566.6809971</v>
      </c>
      <c r="U13" s="18">
        <f>U57</f>
        <v>74651837.53666772</v>
      </c>
      <c r="V13" s="18">
        <f>V57</f>
        <v>76953593.54709834</v>
      </c>
      <c r="W13" s="18">
        <f>W57</f>
        <v>79322799.2669318</v>
      </c>
      <c r="X13" s="18">
        <f>X57</f>
        <v>81761478.18745016</v>
      </c>
      <c r="Y13" s="18">
        <f>Y57</f>
        <v>84271714.50467396</v>
      </c>
      <c r="Z13" s="18">
        <f>Z57</f>
        <v>86855655.66050439</v>
      </c>
      <c r="AA13" s="18">
        <f>AA57</f>
        <v>89487200.45849961</v>
      </c>
    </row>
    <row r="14" spans="1:27" ht="12.75">
      <c r="A14" s="15" t="s">
        <v>6</v>
      </c>
      <c r="B14" s="19" t="s">
        <v>16</v>
      </c>
      <c r="C14" s="17">
        <v>19066808</v>
      </c>
      <c r="D14" s="17">
        <v>21525882</v>
      </c>
      <c r="E14" s="23">
        <v>23164024.05</v>
      </c>
      <c r="F14" s="24">
        <v>24037884.81</v>
      </c>
      <c r="G14" s="24">
        <f>25529221.01+960</f>
        <v>25530181.01</v>
      </c>
      <c r="H14" s="18">
        <f>SUM(G14+0.03*G14)</f>
        <v>26296086.440300003</v>
      </c>
      <c r="I14" s="18">
        <f>SUM(H14+0.03*H14)</f>
        <v>27084969.033509</v>
      </c>
      <c r="J14" s="18">
        <f>SUM(I14+0.03*I14)</f>
        <v>27897518.10451427</v>
      </c>
      <c r="K14" s="18">
        <f>SUM(J14+0.03*J14)</f>
        <v>28734443.647649698</v>
      </c>
      <c r="L14" s="18">
        <f>SUM(K14+0.03*K14)</f>
        <v>29596476.957079187</v>
      </c>
      <c r="M14" s="18">
        <f>SUM(L14+0.03*L14)</f>
        <v>30484371.26579156</v>
      </c>
      <c r="N14" s="18">
        <f>SUM(M14+0.03*M14)</f>
        <v>31398902.40376531</v>
      </c>
      <c r="O14" s="18">
        <f>SUM(N14+0.03*N14)</f>
        <v>32340869.47587827</v>
      </c>
      <c r="P14" s="18">
        <f>SUM(O14+0.03*O14)</f>
        <v>33311095.560154617</v>
      </c>
      <c r="Q14" s="18">
        <f>SUM(P14+0.03*P14)</f>
        <v>34310428.426959254</v>
      </c>
      <c r="R14" s="18">
        <f>SUM(Q14+0.03*Q14)</f>
        <v>35339741.279768035</v>
      </c>
      <c r="S14" s="18">
        <f>SUM(R14+0.03*R14)</f>
        <v>36399933.51816107</v>
      </c>
      <c r="T14" s="18">
        <f>SUM(S14+0.03*S14)</f>
        <v>37491931.52370591</v>
      </c>
      <c r="U14" s="18">
        <f>SUM(T14+0.03*T14)</f>
        <v>38616689.46941709</v>
      </c>
      <c r="V14" s="18">
        <f>SUM(U14+0.03*U14)</f>
        <v>39775190.1534996</v>
      </c>
      <c r="W14" s="18">
        <f>SUM(V14+0.03*V14)</f>
        <v>40968445.858104594</v>
      </c>
      <c r="X14" s="18">
        <f>SUM(W14+0.03*W14)</f>
        <v>42197499.23384773</v>
      </c>
      <c r="Y14" s="18">
        <f>SUM(X14+0.03*X14)</f>
        <v>43463424.21086316</v>
      </c>
      <c r="Z14" s="18">
        <f>SUM(Y14+0.03*Y14)</f>
        <v>44767326.93718905</v>
      </c>
      <c r="AA14" s="18">
        <f>SUM(Z14+0.03*Z14)</f>
        <v>46110346.74530472</v>
      </c>
    </row>
    <row r="15" spans="1:27" ht="12.75">
      <c r="A15" s="15" t="s">
        <v>8</v>
      </c>
      <c r="B15" s="16" t="s">
        <v>17</v>
      </c>
      <c r="C15" s="17">
        <v>3797329</v>
      </c>
      <c r="D15" s="17">
        <v>4009351</v>
      </c>
      <c r="E15" s="23">
        <v>3909060.3</v>
      </c>
      <c r="F15" s="24">
        <v>3712043.36</v>
      </c>
      <c r="G15" s="24">
        <f>4435000-6840</f>
        <v>4428160</v>
      </c>
      <c r="H15" s="18">
        <f>SUM(G15+0.03*G15)</f>
        <v>4561004.8</v>
      </c>
      <c r="I15" s="18">
        <f>SUM(H15+0.03*H15)</f>
        <v>4697834.944</v>
      </c>
      <c r="J15" s="18">
        <f>SUM(I15+0.03*I15)</f>
        <v>4838769.99232</v>
      </c>
      <c r="K15" s="18">
        <f>SUM(J15+0.03*J15)</f>
        <v>4983933.0920896</v>
      </c>
      <c r="L15" s="18">
        <f>SUM(K15+0.03*K15)</f>
        <v>5133451.084852288</v>
      </c>
      <c r="M15" s="18">
        <f>SUM(L15+0.03*L15)</f>
        <v>5287454.617397856</v>
      </c>
      <c r="N15" s="18">
        <f>SUM(M15+0.03*M15)</f>
        <v>5446078.255919792</v>
      </c>
      <c r="O15" s="18">
        <f>SUM(N15+0.03*N15)</f>
        <v>5609460.603597386</v>
      </c>
      <c r="P15" s="18">
        <f>SUM(O15+0.03*O15)</f>
        <v>5777744.421705307</v>
      </c>
      <c r="Q15" s="18">
        <f>SUM(P15+0.03*P15)</f>
        <v>5951076.754356466</v>
      </c>
      <c r="R15" s="18">
        <f>SUM(Q15+0.03*Q15)</f>
        <v>6129609.05698716</v>
      </c>
      <c r="S15" s="18">
        <f>SUM(R15+0.03*R15)</f>
        <v>6313497.328696774</v>
      </c>
      <c r="T15" s="18">
        <f>SUM(S15+0.03*S15)</f>
        <v>6502902.2485576775</v>
      </c>
      <c r="U15" s="18">
        <f>SUM(T15+0.03*T15)</f>
        <v>6697989.316014408</v>
      </c>
      <c r="V15" s="18">
        <f>SUM(U15+0.03*U15)</f>
        <v>6898928.995494841</v>
      </c>
      <c r="W15" s="18">
        <f>SUM(V15+0.03*V15)</f>
        <v>7105896.865359686</v>
      </c>
      <c r="X15" s="18">
        <f>SUM(W15+0.03*W15)</f>
        <v>7319073.771320477</v>
      </c>
      <c r="Y15" s="18">
        <f>SUM(X15+0.03*X15)</f>
        <v>7538645.984460091</v>
      </c>
      <c r="Z15" s="18">
        <f>SUM(Y15+0.03*Y15)</f>
        <v>7764805.363993894</v>
      </c>
      <c r="AA15" s="18">
        <f>SUM(Z15+0.03*Z15)</f>
        <v>7997749.5249137115</v>
      </c>
    </row>
    <row r="16" spans="1:27" ht="12.75">
      <c r="A16" s="15" t="s">
        <v>10</v>
      </c>
      <c r="B16" s="19" t="s">
        <v>18</v>
      </c>
      <c r="C16" s="17">
        <v>62867</v>
      </c>
      <c r="D16" s="17">
        <v>90829</v>
      </c>
      <c r="E16" s="18">
        <f>zał2!D36</f>
        <v>480000</v>
      </c>
      <c r="F16" s="18">
        <f>zał2!E36</f>
        <v>348000</v>
      </c>
      <c r="G16" s="18">
        <f>zał2!F36</f>
        <v>1192000</v>
      </c>
      <c r="H16" s="18">
        <f>zał2!G36</f>
        <v>1000000</v>
      </c>
      <c r="I16" s="18">
        <f>zał2!H36</f>
        <v>0</v>
      </c>
      <c r="J16" s="18">
        <f>zał2!I36</f>
        <v>0</v>
      </c>
      <c r="K16" s="18">
        <f>zał2!J36</f>
        <v>0</v>
      </c>
      <c r="L16" s="18">
        <f>zał2!K36</f>
        <v>0</v>
      </c>
      <c r="M16" s="18">
        <f>zał2!L36</f>
        <v>0</v>
      </c>
      <c r="N16" s="18">
        <f>zał2!M36</f>
        <v>0</v>
      </c>
      <c r="O16" s="18">
        <f>zał2!N36</f>
        <v>0</v>
      </c>
      <c r="P16" s="18">
        <f>zał2!O36</f>
        <v>0</v>
      </c>
      <c r="Q16" s="18">
        <f>zał2!P36</f>
        <v>0</v>
      </c>
      <c r="R16" s="18">
        <f>zał2!Q36</f>
        <v>0</v>
      </c>
      <c r="S16" s="18">
        <f>zał2!R36</f>
        <v>0</v>
      </c>
      <c r="T16" s="18">
        <f>zał2!S36</f>
        <v>0</v>
      </c>
      <c r="U16" s="18">
        <f>zał2!T36</f>
        <v>0</v>
      </c>
      <c r="V16" s="18">
        <f>zał2!U36</f>
        <v>0</v>
      </c>
      <c r="W16" s="18">
        <f>zał2!V36</f>
        <v>0</v>
      </c>
      <c r="X16" s="18">
        <f>zał2!W36</f>
        <v>0</v>
      </c>
      <c r="Y16" s="18">
        <f>zał2!X36</f>
        <v>0</v>
      </c>
      <c r="Z16" s="18">
        <f>zał2!Y36</f>
        <v>0</v>
      </c>
      <c r="AA16" s="18">
        <f>zał2!Z36</f>
        <v>0</v>
      </c>
    </row>
    <row r="17" spans="1:27" ht="24.75">
      <c r="A17" s="15" t="s">
        <v>12</v>
      </c>
      <c r="B17" s="19" t="s">
        <v>19</v>
      </c>
      <c r="C17" s="17">
        <v>0</v>
      </c>
      <c r="D17" s="17">
        <v>0</v>
      </c>
      <c r="E17" s="17">
        <v>0</v>
      </c>
      <c r="F17" s="18">
        <f>zał2!E37</f>
        <v>348000</v>
      </c>
      <c r="G17" s="18">
        <f>zał2!F37</f>
        <v>1192000</v>
      </c>
      <c r="H17" s="18">
        <f>zał2!G37</f>
        <v>1000000</v>
      </c>
      <c r="I17" s="18">
        <f>zał2!H37</f>
        <v>0</v>
      </c>
      <c r="J17" s="18">
        <f>zał2!I37</f>
        <v>0</v>
      </c>
      <c r="K17" s="18">
        <f>zał2!J37</f>
        <v>0</v>
      </c>
      <c r="L17" s="18">
        <f>zał2!K37</f>
        <v>0</v>
      </c>
      <c r="M17" s="18">
        <f>zał2!L37</f>
        <v>0</v>
      </c>
      <c r="N17" s="18">
        <f>zał2!M37</f>
        <v>0</v>
      </c>
      <c r="O17" s="18">
        <f>zał2!N37</f>
        <v>0</v>
      </c>
      <c r="P17" s="18">
        <f>zał2!O37</f>
        <v>0</v>
      </c>
      <c r="Q17" s="18">
        <f>zał2!P37</f>
        <v>0</v>
      </c>
      <c r="R17" s="18">
        <f>zał2!Q37</f>
        <v>0</v>
      </c>
      <c r="S17" s="18">
        <f>zał2!R37</f>
        <v>0</v>
      </c>
      <c r="T17" s="18">
        <f>zał2!S37</f>
        <v>0</v>
      </c>
      <c r="U17" s="18">
        <f>zał2!T37</f>
        <v>0</v>
      </c>
      <c r="V17" s="18">
        <f>zał2!U37</f>
        <v>0</v>
      </c>
      <c r="W17" s="18">
        <f>zał2!V37</f>
        <v>0</v>
      </c>
      <c r="X17" s="18">
        <f>zał2!W37</f>
        <v>0</v>
      </c>
      <c r="Y17" s="18">
        <f>zał2!X37</f>
        <v>0</v>
      </c>
      <c r="Z17" s="18">
        <f>zał2!Y37</f>
        <v>0</v>
      </c>
      <c r="AA17" s="18">
        <f>zał2!Z37</f>
        <v>0</v>
      </c>
    </row>
    <row r="18" spans="1:27" ht="24.75">
      <c r="A18" s="15" t="s">
        <v>20</v>
      </c>
      <c r="B18" s="19" t="s">
        <v>21</v>
      </c>
      <c r="C18" s="17">
        <v>0</v>
      </c>
      <c r="D18" s="17">
        <v>0</v>
      </c>
      <c r="E18" s="17">
        <v>0</v>
      </c>
      <c r="F18" s="18">
        <f>zał3!G12</f>
        <v>1861833.32</v>
      </c>
      <c r="G18" s="18">
        <f>zał3!H12</f>
        <v>1500035</v>
      </c>
      <c r="H18" s="18">
        <f>zał3!I12</f>
        <v>1055620</v>
      </c>
      <c r="I18" s="18">
        <f>zał3!J12</f>
        <v>30000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</row>
    <row r="19" spans="1:27" ht="24.75">
      <c r="A19" s="12">
        <v>3</v>
      </c>
      <c r="B19" s="22" t="s">
        <v>22</v>
      </c>
      <c r="C19" s="14">
        <f>SUM(C8-C13)</f>
        <v>11239942</v>
      </c>
      <c r="D19" s="14">
        <f>SUM(D8-D13)</f>
        <v>15048712</v>
      </c>
      <c r="E19" s="14">
        <f>SUM(E8-E13)</f>
        <v>22838492.42</v>
      </c>
      <c r="F19" s="14">
        <f>SUM(F8-F13)</f>
        <v>19768224.72</v>
      </c>
      <c r="G19" s="14">
        <f>SUM(G8-G13)</f>
        <v>31900401.519999996</v>
      </c>
      <c r="H19" s="14">
        <f>SUM(H8-H13)</f>
        <v>21220251.315960005</v>
      </c>
      <c r="I19" s="14">
        <f>SUM(I8-I13)</f>
        <v>16758925.148330934</v>
      </c>
      <c r="J19" s="14">
        <f>SUM(J8-J13)</f>
        <v>17064551.20530153</v>
      </c>
      <c r="K19" s="14">
        <f>SUM(K8-K13)</f>
        <v>17387541.88824439</v>
      </c>
      <c r="L19" s="14">
        <f>SUM(L8-L13)</f>
        <v>17728479.531818144</v>
      </c>
      <c r="M19" s="14">
        <f>SUM(M8-M13)</f>
        <v>18087965.84399347</v>
      </c>
      <c r="N19" s="14">
        <f>SUM(N8-N13)</f>
        <v>18466622.00625384</v>
      </c>
      <c r="O19" s="14">
        <f>SUM(O8-O13)</f>
        <v>18925988.14143142</v>
      </c>
      <c r="P19" s="14">
        <f>SUM(P8-P13)</f>
        <v>19498679.54066582</v>
      </c>
      <c r="Q19" s="14">
        <f>SUM(Q8-Q13)</f>
        <v>20092533.29719559</v>
      </c>
      <c r="R19" s="14">
        <f>SUM(R8-R13)</f>
        <v>20708258.019716278</v>
      </c>
      <c r="S19" s="14">
        <f>SUM(S8-S13)</f>
        <v>21346585.86106153</v>
      </c>
      <c r="T19" s="14">
        <f>SUM(T8-T13)</f>
        <v>22008273.29538952</v>
      </c>
      <c r="U19" s="14">
        <f>SUM(U8-U13)</f>
        <v>22694101.92088148</v>
      </c>
      <c r="V19" s="14">
        <f>SUM(V8-V13)</f>
        <v>23404879.288786322</v>
      </c>
      <c r="W19" s="14">
        <f>SUM(W8-W13)</f>
        <v>24141439.759671256</v>
      </c>
      <c r="X19" s="14">
        <f>SUM(X8-X13)</f>
        <v>24904645.387767747</v>
      </c>
      <c r="Y19" s="14">
        <f>SUM(Y8-Y13)</f>
        <v>25695386.834329575</v>
      </c>
      <c r="Z19" s="14">
        <f>SUM(Z8-Z13)</f>
        <v>26514583.590950727</v>
      </c>
      <c r="AA19" s="14">
        <f>SUM(AA8-AA13)</f>
        <v>27391498.713821366</v>
      </c>
    </row>
    <row r="20" spans="1:27" ht="24.75">
      <c r="A20" s="12">
        <v>4</v>
      </c>
      <c r="B20" s="22" t="s">
        <v>23</v>
      </c>
      <c r="C20" s="17">
        <v>2208400</v>
      </c>
      <c r="D20" s="17">
        <v>4448000</v>
      </c>
      <c r="E20" s="17">
        <v>3064970</v>
      </c>
      <c r="F20" s="18">
        <f>F62</f>
        <v>5983046.68</v>
      </c>
      <c r="G20" s="18">
        <f>G62</f>
        <v>711078</v>
      </c>
      <c r="H20" s="18">
        <f>H62</f>
        <v>750000</v>
      </c>
      <c r="I20" s="18">
        <f>I62</f>
        <v>14875686.240030006</v>
      </c>
      <c r="J20" s="18">
        <f>J62</f>
        <v>13213876.646470934</v>
      </c>
      <c r="K20" s="18">
        <f>K62</f>
        <v>13726680.437511533</v>
      </c>
      <c r="L20" s="18">
        <f>L62</f>
        <v>14181848.854524389</v>
      </c>
      <c r="M20" s="18">
        <f>M62</f>
        <v>14652714.232168145</v>
      </c>
      <c r="N20" s="18">
        <f>N62</f>
        <v>15139810.778413467</v>
      </c>
      <c r="O20" s="18">
        <f>O62</f>
        <v>15643690.68974384</v>
      </c>
      <c r="P20" s="18">
        <f>P62</f>
        <v>16164924.751641423</v>
      </c>
      <c r="Q20" s="18">
        <f>Q62</f>
        <v>16704102.958973318</v>
      </c>
      <c r="R20" s="18">
        <f>R62</f>
        <v>17261835.156933412</v>
      </c>
      <c r="S20" s="18">
        <f>S62</f>
        <v>17838751.70321724</v>
      </c>
      <c r="T20" s="18">
        <f>T62</f>
        <v>18435504.15212843</v>
      </c>
      <c r="U20" s="18">
        <f>U62</f>
        <v>19052765.961339206</v>
      </c>
      <c r="V20" s="18">
        <f>V62</f>
        <v>19691233.22205037</v>
      </c>
      <c r="W20" s="18">
        <f>W62</f>
        <v>20351625.41332087</v>
      </c>
      <c r="X20" s="18">
        <f>X62</f>
        <v>21034686.181362346</v>
      </c>
      <c r="Y20" s="18">
        <f>Y62</f>
        <v>21741184.14461997</v>
      </c>
      <c r="Z20" s="18">
        <f>Z62</f>
        <v>22471913.725487664</v>
      </c>
      <c r="AA20" s="18">
        <f>AA62</f>
        <v>23227696.009533763</v>
      </c>
    </row>
    <row r="21" spans="1:27" ht="36.75">
      <c r="A21" s="15" t="s">
        <v>6</v>
      </c>
      <c r="B21" s="19" t="s">
        <v>24</v>
      </c>
      <c r="C21" s="17">
        <v>0</v>
      </c>
      <c r="D21" s="17">
        <v>0</v>
      </c>
      <c r="E21" s="17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</row>
    <row r="22" spans="1:27" ht="24.75">
      <c r="A22" s="12">
        <v>5</v>
      </c>
      <c r="B22" s="22" t="s">
        <v>25</v>
      </c>
      <c r="C22" s="17">
        <v>0</v>
      </c>
      <c r="D22" s="17">
        <v>0</v>
      </c>
      <c r="E22" s="17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</row>
    <row r="23" spans="1:27" ht="24.75">
      <c r="A23" s="12">
        <v>6</v>
      </c>
      <c r="B23" s="22" t="s">
        <v>26</v>
      </c>
      <c r="C23" s="14">
        <f>SUM(C19+C20+C22)</f>
        <v>13448342</v>
      </c>
      <c r="D23" s="14">
        <f>SUM(D19+D20+D22)</f>
        <v>19496712</v>
      </c>
      <c r="E23" s="14">
        <f>SUM(E19+E20+E22)</f>
        <v>25903462.42</v>
      </c>
      <c r="F23" s="14">
        <f>SUM(F19+F20+F22)</f>
        <v>25751271.4</v>
      </c>
      <c r="G23" s="14">
        <f>SUM(G19+G20+G22)</f>
        <v>32611479.519999996</v>
      </c>
      <c r="H23" s="14">
        <f>SUM(H19+H20+H22)</f>
        <v>21970251.315960005</v>
      </c>
      <c r="I23" s="14">
        <f>SUM(I19+I20+I22)</f>
        <v>31634611.38836094</v>
      </c>
      <c r="J23" s="14">
        <f>SUM(J19+J20+J22)</f>
        <v>30278427.851772465</v>
      </c>
      <c r="K23" s="14">
        <f>SUM(K19+K20+K22)</f>
        <v>31114222.325755924</v>
      </c>
      <c r="L23" s="14">
        <f>SUM(L19+L20+L22)</f>
        <v>31910328.386342533</v>
      </c>
      <c r="M23" s="14">
        <f>SUM(M19+M20+M22)</f>
        <v>32740680.076161616</v>
      </c>
      <c r="N23" s="14">
        <f>SUM(N19+N20+N22)</f>
        <v>33606432.784667306</v>
      </c>
      <c r="O23" s="14">
        <f>SUM(O19+O20+O22)</f>
        <v>34569678.83117526</v>
      </c>
      <c r="P23" s="14">
        <f>SUM(P19+P20+P22)</f>
        <v>35663604.29230724</v>
      </c>
      <c r="Q23" s="14">
        <f>SUM(Q19+Q20+Q22)</f>
        <v>36796636.25616891</v>
      </c>
      <c r="R23" s="14">
        <f>SUM(R19+R20+R22)</f>
        <v>37970093.17664969</v>
      </c>
      <c r="S23" s="14">
        <f>SUM(S19+S20+S22)</f>
        <v>39185337.56427877</v>
      </c>
      <c r="T23" s="14">
        <f>SUM(T19+T20+T22)</f>
        <v>40443777.44751795</v>
      </c>
      <c r="U23" s="14">
        <f>SUM(U19+U20+U22)</f>
        <v>41746867.882220685</v>
      </c>
      <c r="V23" s="14">
        <f>SUM(V19+V20+V22)</f>
        <v>43096112.51083669</v>
      </c>
      <c r="W23" s="14">
        <f>SUM(W19+W20+W22)</f>
        <v>44493065.172992125</v>
      </c>
      <c r="X23" s="14">
        <f>SUM(X19+X20+X22)</f>
        <v>45939331.56913009</v>
      </c>
      <c r="Y23" s="14">
        <f>SUM(Y19+Y20+Y22)</f>
        <v>47436570.97894955</v>
      </c>
      <c r="Z23" s="14">
        <f>SUM(Z19+Z20+Z22)</f>
        <v>48986497.31643839</v>
      </c>
      <c r="AA23" s="14">
        <f>SUM(AA19+AA20+AA22)</f>
        <v>50619194.72335513</v>
      </c>
    </row>
    <row r="24" spans="1:27" ht="12.75">
      <c r="A24" s="12">
        <v>7</v>
      </c>
      <c r="B24" s="13" t="s">
        <v>27</v>
      </c>
      <c r="C24" s="14">
        <f>SUM(C25:C26)</f>
        <v>5006333</v>
      </c>
      <c r="D24" s="14">
        <f>SUM(D25:D26)</f>
        <v>7006783</v>
      </c>
      <c r="E24" s="14">
        <f>SUM(E25:E26)</f>
        <v>7727540.87</v>
      </c>
      <c r="F24" s="14">
        <f>SUM(F25:F26)</f>
        <v>8651861.24</v>
      </c>
      <c r="G24" s="14">
        <f>SUM(G25:G26)</f>
        <v>9681140.89</v>
      </c>
      <c r="H24" s="14">
        <f>SUM(H25:H26)</f>
        <v>8001163.510430001</v>
      </c>
      <c r="I24" s="14">
        <f>SUM(I25:I26)</f>
        <v>7649874.73636</v>
      </c>
      <c r="J24" s="14">
        <f>SUM(J25:J26)</f>
        <v>5040833.00229</v>
      </c>
      <c r="K24" s="14">
        <f>SUM(K25:K26)</f>
        <v>4833655.26822</v>
      </c>
      <c r="L24" s="14">
        <f>SUM(L25:L26)</f>
        <v>4626477.534150001</v>
      </c>
      <c r="M24" s="14">
        <f>SUM(M25:M26)</f>
        <v>4419299.80008</v>
      </c>
      <c r="N24" s="14">
        <f>SUM(N25:N26)</f>
        <v>4212130.52601</v>
      </c>
      <c r="O24" s="14">
        <f>SUM(O25:O26)</f>
        <v>3050896.32854</v>
      </c>
      <c r="P24" s="14">
        <f>SUM(P25:P26)</f>
        <v>1449985.2348700005</v>
      </c>
      <c r="Q24" s="14">
        <f>SUM(Q25:Q26)</f>
        <v>1396552.8712000004</v>
      </c>
      <c r="R24" s="14">
        <f>SUM(R25:R26)</f>
        <v>1343120.5075300005</v>
      </c>
      <c r="S24" s="14">
        <f>SUM(S25:S26)</f>
        <v>1289688.1438600004</v>
      </c>
      <c r="T24" s="14">
        <f>SUM(T25:T26)</f>
        <v>1236255.7801900003</v>
      </c>
      <c r="U24" s="14">
        <f>SUM(U25:U26)</f>
        <v>1182823.4165200004</v>
      </c>
      <c r="V24" s="14">
        <f>SUM(V25:V26)</f>
        <v>1129391.0528500003</v>
      </c>
      <c r="W24" s="14">
        <f>SUM(W25:W26)</f>
        <v>1075958.6891800005</v>
      </c>
      <c r="X24" s="14">
        <f>SUM(X25:X26)</f>
        <v>1022526.3255100005</v>
      </c>
      <c r="Y24" s="14">
        <f>SUM(Y25:Y26)</f>
        <v>969093.9618400005</v>
      </c>
      <c r="Z24" s="14">
        <f>SUM(Z25:Z26)</f>
        <v>915672.8781700004</v>
      </c>
      <c r="AA24" s="14">
        <f>SUM(AA25:AA26)</f>
        <v>418691.39450000005</v>
      </c>
    </row>
    <row r="25" spans="1:27" ht="24.75">
      <c r="A25" s="15" t="s">
        <v>6</v>
      </c>
      <c r="B25" s="19" t="s">
        <v>28</v>
      </c>
      <c r="C25" s="17">
        <v>4216859</v>
      </c>
      <c r="D25" s="17">
        <v>5932009</v>
      </c>
      <c r="E25" s="17">
        <v>6476116.28</v>
      </c>
      <c r="F25" s="18">
        <f>zał2!E27</f>
        <v>6701134</v>
      </c>
      <c r="G25" s="18">
        <f>zał2!F27</f>
        <v>7281140.890000001</v>
      </c>
      <c r="H25" s="18">
        <f>zał2!G27</f>
        <v>5854825.4345</v>
      </c>
      <c r="I25" s="18">
        <f>zał2!H27</f>
        <v>5854826.2345</v>
      </c>
      <c r="J25" s="18">
        <f>zał2!I27</f>
        <v>3452962.2345</v>
      </c>
      <c r="K25" s="18">
        <f>zał2!J27</f>
        <v>3452962.2345</v>
      </c>
      <c r="L25" s="18">
        <f>zał2!K27</f>
        <v>3452962.2345</v>
      </c>
      <c r="M25" s="18">
        <f>zał2!L27</f>
        <v>3452962.2345</v>
      </c>
      <c r="N25" s="18">
        <f>zał2!M27</f>
        <v>3452971.2345</v>
      </c>
      <c r="O25" s="18">
        <f>zał2!N27</f>
        <v>2438018.1245</v>
      </c>
      <c r="P25" s="18">
        <f>zał2!O27</f>
        <v>890539.3945</v>
      </c>
      <c r="Q25" s="18">
        <f>zał2!P27</f>
        <v>890539.3945</v>
      </c>
      <c r="R25" s="18">
        <f>zał2!Q27</f>
        <v>890539.3945</v>
      </c>
      <c r="S25" s="18">
        <f>zał2!R27</f>
        <v>890539.3945</v>
      </c>
      <c r="T25" s="18">
        <f>zał2!S27</f>
        <v>890539.3945</v>
      </c>
      <c r="U25" s="18">
        <f>zał2!T27</f>
        <v>890539.3945</v>
      </c>
      <c r="V25" s="18">
        <f>zał2!U27</f>
        <v>890539.3945</v>
      </c>
      <c r="W25" s="18">
        <f>zał2!V27</f>
        <v>890539.3945</v>
      </c>
      <c r="X25" s="18">
        <f>zał2!W27</f>
        <v>890539.3945</v>
      </c>
      <c r="Y25" s="18">
        <f>zał2!X27</f>
        <v>890539.3945</v>
      </c>
      <c r="Z25" s="18">
        <f>zał2!Y27</f>
        <v>890551.3945</v>
      </c>
      <c r="AA25" s="18">
        <f>zał2!Z27</f>
        <v>418691.39450000005</v>
      </c>
    </row>
    <row r="26" spans="1:27" ht="12.75">
      <c r="A26" s="15" t="s">
        <v>8</v>
      </c>
      <c r="B26" s="19" t="s">
        <v>29</v>
      </c>
      <c r="C26" s="18">
        <f>SUM(C56)</f>
        <v>789474</v>
      </c>
      <c r="D26" s="18">
        <f>SUM(D56)</f>
        <v>1074774</v>
      </c>
      <c r="E26" s="18">
        <f>SUM(E56)</f>
        <v>1251424.59</v>
      </c>
      <c r="F26" s="18">
        <f>SUM(F56)</f>
        <v>1950727.24</v>
      </c>
      <c r="G26" s="18">
        <f>SUM(G56)</f>
        <v>2400000</v>
      </c>
      <c r="H26" s="18">
        <f>SUM(H56)</f>
        <v>2146338.07593</v>
      </c>
      <c r="I26" s="18">
        <f>SUM(I56)</f>
        <v>1795048.5018600002</v>
      </c>
      <c r="J26" s="18">
        <f>SUM(J56)</f>
        <v>1587870.7677900002</v>
      </c>
      <c r="K26" s="18">
        <f>SUM(K56)</f>
        <v>1380693.0337200004</v>
      </c>
      <c r="L26" s="18">
        <f>SUM(L56)</f>
        <v>1173515.2996500004</v>
      </c>
      <c r="M26" s="18">
        <f>SUM(M56)</f>
        <v>966337.5655800004</v>
      </c>
      <c r="N26" s="18">
        <f>SUM(N56)</f>
        <v>759159.2915100005</v>
      </c>
      <c r="O26" s="18">
        <f>SUM(O56)</f>
        <v>612878.2040400004</v>
      </c>
      <c r="P26" s="18">
        <f>SUM(P56)</f>
        <v>559445.8403700005</v>
      </c>
      <c r="Q26" s="18">
        <f>SUM(Q56)</f>
        <v>506013.47670000046</v>
      </c>
      <c r="R26" s="18">
        <f>SUM(R56)</f>
        <v>452581.1130300004</v>
      </c>
      <c r="S26" s="18">
        <f>SUM(S56)</f>
        <v>399148.7493600004</v>
      </c>
      <c r="T26" s="18">
        <f>SUM(T56)</f>
        <v>345716.3856900004</v>
      </c>
      <c r="U26" s="18">
        <f>SUM(U56)</f>
        <v>292284.0220200004</v>
      </c>
      <c r="V26" s="18">
        <f>SUM(V56)</f>
        <v>238851.65835000036</v>
      </c>
      <c r="W26" s="18">
        <f>SUM(W56)</f>
        <v>185419.29468000037</v>
      </c>
      <c r="X26" s="18">
        <f>SUM(X56)</f>
        <v>131986.93101000038</v>
      </c>
      <c r="Y26" s="18">
        <f>SUM(Y56)</f>
        <v>78554.56734000039</v>
      </c>
      <c r="Z26" s="18">
        <f>SUM(Z56)</f>
        <v>25121.48367000038</v>
      </c>
      <c r="AA26" s="18">
        <f>SUM(AA56)</f>
        <v>0</v>
      </c>
    </row>
    <row r="27" spans="1:27" ht="12.75">
      <c r="A27" s="12">
        <v>8</v>
      </c>
      <c r="B27" s="22" t="s">
        <v>30</v>
      </c>
      <c r="C27" s="17">
        <v>0</v>
      </c>
      <c r="D27" s="17">
        <v>0</v>
      </c>
      <c r="E27" s="17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</row>
    <row r="28" spans="1:27" ht="24.75">
      <c r="A28" s="12">
        <v>9</v>
      </c>
      <c r="B28" s="22" t="s">
        <v>31</v>
      </c>
      <c r="C28" s="14">
        <f>SUM(C23-C24-C27)</f>
        <v>8442009</v>
      </c>
      <c r="D28" s="14">
        <f>SUM(D23-D24-D27)</f>
        <v>12489929</v>
      </c>
      <c r="E28" s="14">
        <f>SUM(E23-E24-E27)</f>
        <v>18175921.55</v>
      </c>
      <c r="F28" s="14">
        <f>SUM(F23-F24-F27)</f>
        <v>17099410.159999996</v>
      </c>
      <c r="G28" s="14">
        <f>SUM(G23-G24-G27)</f>
        <v>22930338.629999995</v>
      </c>
      <c r="H28" s="14">
        <f>SUM(H23-H24-H27)</f>
        <v>13969087.805530004</v>
      </c>
      <c r="I28" s="14">
        <f>SUM(I23-I24-I27)</f>
        <v>23984736.65200094</v>
      </c>
      <c r="J28" s="14">
        <f>SUM(J23-J24-J27)</f>
        <v>25237594.849482466</v>
      </c>
      <c r="K28" s="14">
        <f>SUM(K23-K24-K27)</f>
        <v>26280567.057535924</v>
      </c>
      <c r="L28" s="14">
        <f>SUM(L23-L24-L27)</f>
        <v>27283850.852192532</v>
      </c>
      <c r="M28" s="14">
        <f>SUM(M23-M24-M27)</f>
        <v>28321380.276081614</v>
      </c>
      <c r="N28" s="14">
        <f>SUM(N23-N24-N27)</f>
        <v>29394302.258657306</v>
      </c>
      <c r="O28" s="14">
        <f>SUM(O23-O24-O27)</f>
        <v>31518782.50263526</v>
      </c>
      <c r="P28" s="14">
        <f>SUM(P23-P24-P27)</f>
        <v>34213619.05743724</v>
      </c>
      <c r="Q28" s="14">
        <f>SUM(Q23-Q24-Q27)</f>
        <v>35400083.38496891</v>
      </c>
      <c r="R28" s="14">
        <f>SUM(R23-R24-R27)</f>
        <v>36626972.669119686</v>
      </c>
      <c r="S28" s="14">
        <f>SUM(S23-S24-S27)</f>
        <v>37895649.42041877</v>
      </c>
      <c r="T28" s="14">
        <f>SUM(T23-T24-T27)</f>
        <v>39207521.66732795</v>
      </c>
      <c r="U28" s="14">
        <f>SUM(U23-U24-U27)</f>
        <v>40564044.465700686</v>
      </c>
      <c r="V28" s="14">
        <f>SUM(V23-V24-V27)</f>
        <v>41966721.45798669</v>
      </c>
      <c r="W28" s="14">
        <f>SUM(W23-W24-W27)</f>
        <v>43417106.48381212</v>
      </c>
      <c r="X28" s="14">
        <f>SUM(X23-X24-X27)</f>
        <v>44916805.24362009</v>
      </c>
      <c r="Y28" s="14">
        <f>SUM(Y23-Y24-Y27)</f>
        <v>46467477.01710954</v>
      </c>
      <c r="Z28" s="14">
        <f>SUM(Z23-Z24-Z27)</f>
        <v>48070824.43826839</v>
      </c>
      <c r="AA28" s="14">
        <f>SUM(AA23-AA24-AA27)</f>
        <v>50200503.32885513</v>
      </c>
    </row>
    <row r="29" spans="1:27" ht="12.75">
      <c r="A29" s="12">
        <v>10</v>
      </c>
      <c r="B29" s="13" t="s">
        <v>32</v>
      </c>
      <c r="C29" s="17">
        <v>18745557</v>
      </c>
      <c r="D29" s="17">
        <v>19672209</v>
      </c>
      <c r="E29" s="18">
        <f>zał2!D14</f>
        <v>28233437.43</v>
      </c>
      <c r="F29" s="18">
        <f>zał2!E14</f>
        <v>25589380.16</v>
      </c>
      <c r="G29" s="18">
        <f>zał2!F14</f>
        <v>31304166.52</v>
      </c>
      <c r="H29" s="18">
        <f>zał2!G14</f>
        <v>4948227</v>
      </c>
      <c r="I29" s="18">
        <f>zał2!H14</f>
        <v>2500000</v>
      </c>
      <c r="J29" s="18">
        <f>zał2!I14</f>
        <v>2500000</v>
      </c>
      <c r="K29" s="18">
        <f>zał2!J14</f>
        <v>2575000</v>
      </c>
      <c r="L29" s="18">
        <f>zał2!K14</f>
        <v>2652250</v>
      </c>
      <c r="M29" s="18">
        <f>zał2!L14</f>
        <v>2731817.5</v>
      </c>
      <c r="N29" s="18">
        <f>zał2!M14</f>
        <v>2813772.025</v>
      </c>
      <c r="O29" s="18">
        <f>zał2!N14</f>
        <v>2898185.1857499997</v>
      </c>
      <c r="P29" s="18">
        <f>zał2!O14</f>
        <v>2985130.7413224997</v>
      </c>
      <c r="Q29" s="18">
        <f>zał2!P14</f>
        <v>3074684.663562175</v>
      </c>
      <c r="R29" s="18">
        <f>zał2!Q14</f>
        <v>3166925.2034690403</v>
      </c>
      <c r="S29" s="18">
        <f>zał2!R14</f>
        <v>3261932.9595731115</v>
      </c>
      <c r="T29" s="18">
        <f>zał2!S14</f>
        <v>3359790.948360305</v>
      </c>
      <c r="U29" s="18">
        <f>zał2!T14</f>
        <v>3460584.676811114</v>
      </c>
      <c r="V29" s="18">
        <f>zał2!U14</f>
        <v>3564402.2171154474</v>
      </c>
      <c r="W29" s="18">
        <f>zał2!V14</f>
        <v>3671334.283628911</v>
      </c>
      <c r="X29" s="18">
        <f>zał2!W14</f>
        <v>3781474.312137778</v>
      </c>
      <c r="Y29" s="18">
        <f>zał2!X14</f>
        <v>3894918.5415019114</v>
      </c>
      <c r="Z29" s="18">
        <f>zał2!Y14</f>
        <v>4011766.0977469687</v>
      </c>
      <c r="AA29" s="18">
        <f>zał2!Z14</f>
        <v>4132119.080679378</v>
      </c>
    </row>
    <row r="30" spans="1:27" ht="12.75">
      <c r="A30" s="15" t="s">
        <v>6</v>
      </c>
      <c r="B30" s="19" t="s">
        <v>33</v>
      </c>
      <c r="C30" s="17">
        <v>18745557</v>
      </c>
      <c r="D30" s="17">
        <v>19672209</v>
      </c>
      <c r="E30" s="18">
        <f>E29</f>
        <v>28233437.43</v>
      </c>
      <c r="F30" s="18">
        <f>F29</f>
        <v>25589380.16</v>
      </c>
      <c r="G30" s="18">
        <f>zał3!H13</f>
        <v>27245429</v>
      </c>
      <c r="H30" s="18">
        <f>zał3!I13</f>
        <v>3948227</v>
      </c>
      <c r="I30" s="18">
        <f>zał3!J13</f>
        <v>1500000</v>
      </c>
      <c r="J30" s="18">
        <f>zał3!K13</f>
        <v>1500000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</row>
    <row r="31" spans="1:27" ht="24.75">
      <c r="A31" s="12">
        <v>11</v>
      </c>
      <c r="B31" s="22" t="s">
        <v>34</v>
      </c>
      <c r="C31" s="17">
        <v>14411180</v>
      </c>
      <c r="D31" s="17">
        <v>10425160</v>
      </c>
      <c r="E31" s="17">
        <v>15861658</v>
      </c>
      <c r="F31" s="18">
        <f>zał2!E18</f>
        <v>9201048</v>
      </c>
      <c r="G31" s="18">
        <f>zał2!F18</f>
        <v>8373827.890000001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</row>
    <row r="32" spans="1:27" ht="12.75">
      <c r="A32" s="12" t="s">
        <v>35</v>
      </c>
      <c r="B32" s="19" t="s">
        <v>36</v>
      </c>
      <c r="C32" s="17"/>
      <c r="D32" s="17"/>
      <c r="E32" s="17"/>
      <c r="F32" s="18">
        <v>0</v>
      </c>
      <c r="G32" s="18">
        <f>zał2!F16</f>
        <v>1803765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ht="24.75">
      <c r="A33" s="12">
        <v>12</v>
      </c>
      <c r="B33" s="22" t="s">
        <v>37</v>
      </c>
      <c r="C33" s="25">
        <f>SUM(C28-C29+C31)</f>
        <v>4107632</v>
      </c>
      <c r="D33" s="25">
        <f>SUM(D28-D29+D31)</f>
        <v>3242880</v>
      </c>
      <c r="E33" s="25">
        <f>SUM(E28-E29+E31)</f>
        <v>5804142.120000001</v>
      </c>
      <c r="F33" s="25">
        <f>SUM(F28-F29+F31)</f>
        <v>711077.9999999963</v>
      </c>
      <c r="G33" s="25">
        <f>SUM(G28-G29+G31)</f>
        <v>0</v>
      </c>
      <c r="H33" s="25">
        <f>SUM(H28-H29+H31)</f>
        <v>9020860.805530004</v>
      </c>
      <c r="I33" s="25">
        <f>SUM(I28-I29+I31)</f>
        <v>21484736.65200094</v>
      </c>
      <c r="J33" s="25">
        <f>SUM(J28-J29+J31)</f>
        <v>22737594.849482466</v>
      </c>
      <c r="K33" s="25">
        <f>SUM(K28-K29+K31)</f>
        <v>23705567.057535924</v>
      </c>
      <c r="L33" s="25">
        <f>SUM(L28-L29+L31)</f>
        <v>24631600.852192532</v>
      </c>
      <c r="M33" s="25">
        <f>SUM(M28-M29+M31)</f>
        <v>25589562.776081614</v>
      </c>
      <c r="N33" s="25">
        <f>SUM(N28-N29+N31)</f>
        <v>26580530.233657308</v>
      </c>
      <c r="O33" s="25">
        <f>SUM(O28-O29+O31)</f>
        <v>28620597.31688526</v>
      </c>
      <c r="P33" s="25">
        <f>SUM(P28-P29+P31)</f>
        <v>31228488.316114742</v>
      </c>
      <c r="Q33" s="25">
        <f>SUM(Q28-Q29+Q31)</f>
        <v>32325398.72140673</v>
      </c>
      <c r="R33" s="25">
        <f>SUM(R28-R29+R31)</f>
        <v>33460047.465650644</v>
      </c>
      <c r="S33" s="25">
        <f>SUM(S28-S29+S31)</f>
        <v>34633716.46084566</v>
      </c>
      <c r="T33" s="25">
        <f>SUM(T28-T29+T31)</f>
        <v>35847730.71896765</v>
      </c>
      <c r="U33" s="25">
        <f>SUM(U28-U29+U31)</f>
        <v>37103459.78888957</v>
      </c>
      <c r="V33" s="25">
        <f>SUM(V28-V29+V31)</f>
        <v>38402319.24087124</v>
      </c>
      <c r="W33" s="25">
        <f>SUM(W28-W29+W31)</f>
        <v>39745772.20018321</v>
      </c>
      <c r="X33" s="25">
        <f>SUM(X28-X29+X31)</f>
        <v>41135330.931482315</v>
      </c>
      <c r="Y33" s="25">
        <f>SUM(Y28-Y29+Y31)</f>
        <v>42572558.47560763</v>
      </c>
      <c r="Z33" s="25">
        <f>SUM(Z28-Z29+Z31)</f>
        <v>44059058.340521425</v>
      </c>
      <c r="AA33" s="25">
        <f>SUM(AA28-AA29+AA31)</f>
        <v>46068384.24817575</v>
      </c>
    </row>
    <row r="34" spans="1:27" ht="12.75">
      <c r="A34" s="12">
        <v>13</v>
      </c>
      <c r="B34" s="13" t="s">
        <v>38</v>
      </c>
      <c r="C34" s="21">
        <v>24155833</v>
      </c>
      <c r="D34" s="21">
        <v>26648984.02</v>
      </c>
      <c r="E34" s="18">
        <f>zał2!D49</f>
        <v>38034525.7</v>
      </c>
      <c r="F34" s="18">
        <f>zał2!E49</f>
        <v>40534439.7</v>
      </c>
      <c r="G34" s="18">
        <f>zał2!F49</f>
        <v>41627126.7</v>
      </c>
      <c r="H34" s="18">
        <f>zał2!G49</f>
        <v>35772301.2655</v>
      </c>
      <c r="I34" s="18">
        <f>zał2!H49</f>
        <v>29917475.031000003</v>
      </c>
      <c r="J34" s="18">
        <f>zał2!I49</f>
        <v>26464512.796500005</v>
      </c>
      <c r="K34" s="18">
        <f>zał2!J49</f>
        <v>23011550.562000006</v>
      </c>
      <c r="L34" s="18">
        <f>zał2!K49</f>
        <v>19558588.327500008</v>
      </c>
      <c r="M34" s="18">
        <f>zał2!L49</f>
        <v>16105626.093000008</v>
      </c>
      <c r="N34" s="18">
        <f>zał2!M49</f>
        <v>12652654.858500008</v>
      </c>
      <c r="O34" s="18">
        <f>zał2!N49</f>
        <v>10214636.734000009</v>
      </c>
      <c r="P34" s="18">
        <f>zał2!O49</f>
        <v>9324097.339500008</v>
      </c>
      <c r="Q34" s="18">
        <f>zał2!P49</f>
        <v>8433557.945000008</v>
      </c>
      <c r="R34" s="18">
        <f>zał2!Q49</f>
        <v>7543018.550500007</v>
      </c>
      <c r="S34" s="18">
        <f>zał2!R49</f>
        <v>6652479.156000007</v>
      </c>
      <c r="T34" s="18">
        <f>zał2!S49</f>
        <v>5761939.761500007</v>
      </c>
      <c r="U34" s="18">
        <f>zał2!T49</f>
        <v>4871400.367000006</v>
      </c>
      <c r="V34" s="18">
        <f>zał2!U49</f>
        <v>3980860.972500006</v>
      </c>
      <c r="W34" s="18">
        <f>zał2!V49</f>
        <v>3090321.5780000063</v>
      </c>
      <c r="X34" s="18">
        <f>zał2!W49</f>
        <v>2199782.1835000063</v>
      </c>
      <c r="Y34" s="18">
        <f>zał2!X49</f>
        <v>1309242.7890000064</v>
      </c>
      <c r="Z34" s="18">
        <f>zał2!Y49</f>
        <v>418691.39450000634</v>
      </c>
      <c r="AA34" s="18">
        <f>zał2!Z49</f>
        <v>0</v>
      </c>
    </row>
    <row r="35" spans="1:27" ht="24.75">
      <c r="A35" s="15" t="s">
        <v>6</v>
      </c>
      <c r="B35" s="19" t="s">
        <v>39</v>
      </c>
      <c r="C35" s="26">
        <v>4861053</v>
      </c>
      <c r="D35" s="26">
        <v>7964322</v>
      </c>
      <c r="E35" s="18">
        <f>zał2!D50</f>
        <v>9438082</v>
      </c>
      <c r="F35" s="18">
        <f>zał2!E50</f>
        <v>8929764.1</v>
      </c>
      <c r="G35" s="18">
        <f>zał2!F50</f>
        <v>10316494.2</v>
      </c>
      <c r="H35" s="18">
        <f>zał2!G50</f>
        <v>9101058.95</v>
      </c>
      <c r="I35" s="18">
        <f>zał2!H50</f>
        <v>7885623.699999999</v>
      </c>
      <c r="J35" s="18">
        <f>zał2!I50</f>
        <v>6893905.449999999</v>
      </c>
      <c r="K35" s="18">
        <f>zał2!J50</f>
        <v>5902187.199999999</v>
      </c>
      <c r="L35" s="18">
        <f>zał2!K50</f>
        <v>4910468.949999999</v>
      </c>
      <c r="M35" s="18">
        <f>zał2!L50</f>
        <v>3918750.6999999993</v>
      </c>
      <c r="N35" s="18">
        <f>zał2!M50</f>
        <v>2927029.4499999993</v>
      </c>
      <c r="O35" s="18">
        <f>zał2!N50</f>
        <v>2406726.1999999993</v>
      </c>
      <c r="P35" s="18">
        <f>zał2!O50</f>
        <v>2199903.849999999</v>
      </c>
      <c r="Q35" s="18">
        <f>zał2!P50</f>
        <v>1993081.499999999</v>
      </c>
      <c r="R35" s="18">
        <f>zał2!Q50</f>
        <v>1786259.149999999</v>
      </c>
      <c r="S35" s="18">
        <f>zał2!R50</f>
        <v>1579436.7999999989</v>
      </c>
      <c r="T35" s="18">
        <f>zał2!S50</f>
        <v>1372614.4499999988</v>
      </c>
      <c r="U35" s="18">
        <f>zał2!T50</f>
        <v>1165792.0999999987</v>
      </c>
      <c r="V35" s="18">
        <f>zał2!U50</f>
        <v>958969.7499999987</v>
      </c>
      <c r="W35" s="18">
        <f>zał2!V50</f>
        <v>752147.3999999987</v>
      </c>
      <c r="X35" s="18">
        <f>zał2!W50</f>
        <v>545325.0499999988</v>
      </c>
      <c r="Y35" s="18">
        <f>zał2!X50</f>
        <v>338502.6999999988</v>
      </c>
      <c r="Z35" s="18">
        <f>zał2!Y50</f>
        <v>131634.34999999878</v>
      </c>
      <c r="AA35" s="18">
        <f>zał2!Z50</f>
        <v>-1.2223608791828156E-09</v>
      </c>
    </row>
    <row r="36" spans="1:27" ht="36.75">
      <c r="A36" s="15" t="s">
        <v>8</v>
      </c>
      <c r="B36" s="19" t="s">
        <v>40</v>
      </c>
      <c r="C36" s="26">
        <v>1443268</v>
      </c>
      <c r="D36" s="26">
        <v>1189634</v>
      </c>
      <c r="E36" s="18">
        <f>zał2!D29</f>
        <v>1661049</v>
      </c>
      <c r="F36" s="18">
        <f>zał2!E29</f>
        <v>1974529.9</v>
      </c>
      <c r="G36" s="18">
        <f>zał2!F29</f>
        <v>1245956.9</v>
      </c>
      <c r="H36" s="18">
        <f>zał2!G29</f>
        <v>1215435.25</v>
      </c>
      <c r="I36" s="18">
        <f>zał2!H29</f>
        <v>1215435.25</v>
      </c>
      <c r="J36" s="18">
        <f>zał2!I29</f>
        <v>991718.25</v>
      </c>
      <c r="K36" s="18">
        <f>zał2!J29</f>
        <v>991718.25</v>
      </c>
      <c r="L36" s="18">
        <f>zał2!K29</f>
        <v>991718.25</v>
      </c>
      <c r="M36" s="18">
        <f>zał2!L29</f>
        <v>991718.25</v>
      </c>
      <c r="N36" s="18">
        <f>zał2!M29</f>
        <v>991721.25</v>
      </c>
      <c r="O36" s="18">
        <f>zał2!N29</f>
        <v>520303.25</v>
      </c>
      <c r="P36" s="18">
        <f>zał2!O29</f>
        <v>206822.35</v>
      </c>
      <c r="Q36" s="18">
        <f>zał2!P29</f>
        <v>206822.35</v>
      </c>
      <c r="R36" s="18">
        <f>zał2!Q29</f>
        <v>206822.35</v>
      </c>
      <c r="S36" s="18">
        <f>zał2!R29</f>
        <v>206822.35</v>
      </c>
      <c r="T36" s="18">
        <f>zał2!S29</f>
        <v>206822.35</v>
      </c>
      <c r="U36" s="18">
        <f>zał2!T29</f>
        <v>206822.35</v>
      </c>
      <c r="V36" s="18">
        <f>zał2!U29</f>
        <v>206822.35</v>
      </c>
      <c r="W36" s="18">
        <f>zał2!V29</f>
        <v>206822.35</v>
      </c>
      <c r="X36" s="18">
        <f>zał2!W29</f>
        <v>206822.35</v>
      </c>
      <c r="Y36" s="18">
        <f>zał2!X29</f>
        <v>206822.35</v>
      </c>
      <c r="Z36" s="18">
        <f>zał2!Y29</f>
        <v>206868.35</v>
      </c>
      <c r="AA36" s="18">
        <f>zał2!Z29</f>
        <v>131634.35</v>
      </c>
    </row>
    <row r="37" spans="1:27" ht="48.75">
      <c r="A37" s="12">
        <v>14</v>
      </c>
      <c r="B37" s="22" t="s">
        <v>41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</row>
    <row r="38" spans="1:27" ht="12.75">
      <c r="A38" s="12">
        <v>15</v>
      </c>
      <c r="B38" s="22" t="s">
        <v>42</v>
      </c>
      <c r="C38" s="27">
        <f>zał2!B45</f>
        <v>0.06294843871374606</v>
      </c>
      <c r="D38" s="27">
        <f>zał2!C45</f>
        <v>0.08862409085697345</v>
      </c>
      <c r="E38" s="27">
        <f>zał2!D45</f>
        <v>0.079752272500536</v>
      </c>
      <c r="F38" s="27">
        <f>zał2!E45</f>
        <v>0.08775242377238743</v>
      </c>
      <c r="G38" s="27">
        <f>zał2!F45</f>
        <v>0.0915828029342612</v>
      </c>
      <c r="H38" s="27">
        <f>zał2!G45</f>
        <v>0.09679072875421993</v>
      </c>
      <c r="I38" s="27">
        <f>zał2!H45</f>
        <v>0.09528525574341158</v>
      </c>
      <c r="J38" s="27">
        <f>zał2!I45</f>
        <v>0.058161970747358946</v>
      </c>
      <c r="K38" s="27">
        <f>zał2!J45</f>
        <v>0.05352951329151827</v>
      </c>
      <c r="L38" s="27">
        <f>zał2!K45</f>
        <v>0.049122754579726584</v>
      </c>
      <c r="M38" s="27">
        <f>zał2!L45</f>
        <v>0.04493231937703471</v>
      </c>
      <c r="N38" s="27">
        <f>zał2!M45</f>
        <v>0.040949261324092524</v>
      </c>
      <c r="O38" s="27">
        <f>zał2!N45</f>
        <v>0.031211975733080415</v>
      </c>
      <c r="P38" s="27">
        <f>zał2!O45</f>
        <v>0.014872737102200847</v>
      </c>
      <c r="Q38" s="27">
        <f>zał2!P45</f>
        <v>0.013806238414894999</v>
      </c>
      <c r="R38" s="27">
        <f>zał2!Q45</f>
        <v>0.012790365278676028</v>
      </c>
      <c r="S38" s="27">
        <f>zał2!R45</f>
        <v>0.01182303945993521</v>
      </c>
      <c r="T38" s="27">
        <f>zał2!S45</f>
        <v>0.010902261869962498</v>
      </c>
      <c r="U38" s="27">
        <f>zał2!T45</f>
        <v>0.010026109686327665</v>
      </c>
      <c r="V38" s="27">
        <f>zał2!U45</f>
        <v>0.009192733575755672</v>
      </c>
      <c r="W38" s="27">
        <f>zał2!V45</f>
        <v>0.008400355014997262</v>
      </c>
      <c r="X38" s="27">
        <f>zał2!W45</f>
        <v>0.007647263706314304</v>
      </c>
      <c r="Y38" s="27">
        <f>zał2!X45</f>
        <v>0.006931815084314087</v>
      </c>
      <c r="Z38" s="27">
        <f>zał2!Y45</f>
        <v>0.006252121657764807</v>
      </c>
      <c r="AA38" s="27">
        <f>zał2!Z45</f>
        <v>0.002456025319692987</v>
      </c>
    </row>
    <row r="39" spans="1:27" ht="24.75">
      <c r="A39" s="12" t="s">
        <v>6</v>
      </c>
      <c r="B39" s="22" t="s">
        <v>43</v>
      </c>
      <c r="C39" s="28" t="s">
        <v>44</v>
      </c>
      <c r="D39" s="28" t="s">
        <v>44</v>
      </c>
      <c r="E39" s="28" t="s">
        <v>44</v>
      </c>
      <c r="F39" s="27">
        <f>((E9+E11-E13-E26)/E8+(D9+D11-D13-D26)/D8+(C9+C11-C13-C26)/C8)/3</f>
        <v>0.0845167385672977</v>
      </c>
      <c r="G39" s="27">
        <f>((F9+F11-F13-F26)/F8+(E9+E11-E13-E26)/E8+(D9+D11-D13-D26)/D8)/3</f>
        <v>0.09486854270000923</v>
      </c>
      <c r="H39" s="27">
        <f>((G9+G11-G13-G26)/G8+(F9+F11-F13-F26)/F8+(E9+E11-E13-E26)/E8)/3</f>
        <v>0.09063595299976979</v>
      </c>
      <c r="I39" s="27">
        <f>((H9+H11-H13-H26)/H8+(G9+G11-G13-G26)/G8+(F9+F11-F13-F26)/F8)/3</f>
        <v>0.1412028237592521</v>
      </c>
      <c r="J39" s="27">
        <f>((I9+I11-I13-I26)/I8+(H9+H11-H13-H26)/H8+(G9+G11-G13-G26)/G8)/3</f>
        <v>0.16454253219786721</v>
      </c>
      <c r="K39" s="27">
        <f>((J9+J11-J13-J26)/J8+(I9+I11-I13-I26)/I8+(H9+H11-H13-H26)/H8)/3</f>
        <v>0.2073548937489819</v>
      </c>
      <c r="L39" s="27">
        <f>((K9+K11-K13-K26)/K8+(J9+J11-J13-J26)/J8+(I9+I11-I13-I26)/I8)/3</f>
        <v>0.190637169225527</v>
      </c>
      <c r="M39" s="27">
        <f>((L9+L11-L13-L26)/L8+(K9+K11-K13-K26)/K8+(J9+J11-J13-J26)/J8)/3</f>
        <v>0.191379950234734</v>
      </c>
      <c r="N39" s="27">
        <f>((M9+M11-M13-M26)/M8+(L9+L11-L13-L26)/L8+(K9+K11-K13-K26)/K8)/3</f>
        <v>0.19212208830451236</v>
      </c>
      <c r="O39" s="27">
        <f>((N9+N11-N13-N26)/N8+(M9+M11-M13-M26)/M8+(L9+L11-L13-L26)/L8)/3</f>
        <v>0.1928635839203026</v>
      </c>
      <c r="P39" s="27">
        <f>((O9+O11-O13-O26)/O8+(N9+N11-N13-N26)/N8+(M9+M11-M13-M26)/M8)/3</f>
        <v>0.19360443756730997</v>
      </c>
      <c r="Q39" s="27">
        <f>((P9+P11-P13-P26)/P8+(O9+O11-O13-O26)/O8+(N9+N11-N13-N26)/N8)/3</f>
        <v>0.19434464973050355</v>
      </c>
      <c r="R39" s="27">
        <f>((Q9+Q11-Q13-Q26)/Q8+(P9+P11-P13-P26)/P8+(O9+O11-O13-O26)/O8)/3</f>
        <v>0.19508422089461694</v>
      </c>
      <c r="S39" s="27">
        <f>((R9+R11-R13-R26)/R8+(Q9+Q11-Q13-Q26)/Q8+(P9+P11-P13-P26)/P8)/3</f>
        <v>0.19582315154414728</v>
      </c>
      <c r="T39" s="27">
        <f>((S9+S11-S13-S26)/S8+(R9+R11-R13-R26)/R8+(Q9+Q11-Q13-Q26)/Q8)/3</f>
        <v>0.1965614421633557</v>
      </c>
      <c r="U39" s="27">
        <f>((T9+T11-T13-T26)/T8+(S9+S11-S13-S26)/S8+(R9+R11-R13-R26)/R8)/3</f>
        <v>0.19729909323626693</v>
      </c>
      <c r="V39" s="27">
        <f>((U9+U11-U13-U26)/U8+(T9+T11-T13-T26)/T8+(S9+S11-S13-S26)/S8)/3</f>
        <v>0.19803610524666918</v>
      </c>
      <c r="W39" s="27">
        <f>((V9+V11-V13-V26)/V8+(U9+U11-U13-U26)/U8+(T9+T11-T13-T26)/T8)/3</f>
        <v>0.1987724786781142</v>
      </c>
      <c r="X39" s="27">
        <f>((W9+W11-W13-W26)/W8+(V9+V11-V13-V26)/V8+(U9+U11-U13-U26)/U8)/3</f>
        <v>0.19950821401391672</v>
      </c>
      <c r="Y39" s="27">
        <f>((X9+X11-X13-X26)/X8+(W9+W11-W13-W26)/W8+(V9+V11-V13-V26)/V8)/3</f>
        <v>0.20024331173715484</v>
      </c>
      <c r="Z39" s="27">
        <f>((Y9+Y11-Y13-Y26)/Y8+(X9+X11-X13-X26)/X8+(W9+W11-W13-W26)/W8)/3</f>
        <v>0.20097777233066938</v>
      </c>
      <c r="AA39" s="27">
        <f>((Z9+Z11-Z13-Z26)/Z8+(Y9+Y11-Y13-Y26)/Y8+(X9+X11-X13-X26)/X8)/3</f>
        <v>0.20171159627706423</v>
      </c>
    </row>
    <row r="40" spans="1:27" ht="24.75">
      <c r="A40" s="12">
        <v>16</v>
      </c>
      <c r="B40" s="22" t="s">
        <v>45</v>
      </c>
      <c r="C40" s="29" t="s">
        <v>44</v>
      </c>
      <c r="D40" s="29" t="s">
        <v>44</v>
      </c>
      <c r="E40" s="29" t="s">
        <v>44</v>
      </c>
      <c r="F40" s="30" t="str">
        <f>IF(F38&lt;=F39,"TAK","NIE")</f>
        <v>NIE</v>
      </c>
      <c r="G40" s="30" t="str">
        <f>IF(G38&lt;=G39,"TAK","NIE")</f>
        <v>TAK</v>
      </c>
      <c r="H40" s="30" t="str">
        <f>IF(H38&lt;=H39,"TAK","NIE")</f>
        <v>NIE</v>
      </c>
      <c r="I40" s="30" t="str">
        <f>IF(I38&lt;=I39,"TAK","NIE")</f>
        <v>TAK</v>
      </c>
      <c r="J40" s="30" t="str">
        <f>IF(J38&lt;=J39,"TAK","NIE")</f>
        <v>TAK</v>
      </c>
      <c r="K40" s="30" t="str">
        <f>IF(K38&lt;=K39,"TAK","NIE")</f>
        <v>TAK</v>
      </c>
      <c r="L40" s="30" t="str">
        <f>IF(L38&lt;=L39,"TAK","NIE")</f>
        <v>TAK</v>
      </c>
      <c r="M40" s="30" t="str">
        <f>IF(M38&lt;=M39,"TAK","NIE")</f>
        <v>TAK</v>
      </c>
      <c r="N40" s="30" t="str">
        <f>IF(N38&lt;=N39,"TAK","NIE")</f>
        <v>TAK</v>
      </c>
      <c r="O40" s="30" t="str">
        <f>IF(O38&lt;=O39,"TAK","NIE")</f>
        <v>TAK</v>
      </c>
      <c r="P40" s="30" t="str">
        <f>IF(P38&lt;=P39,"TAK","NIE")</f>
        <v>TAK</v>
      </c>
      <c r="Q40" s="30" t="str">
        <f>IF(Q38&lt;=Q39,"TAK","NIE")</f>
        <v>TAK</v>
      </c>
      <c r="R40" s="30" t="str">
        <f>IF(R38&lt;=R39,"TAK","NIE")</f>
        <v>TAK</v>
      </c>
      <c r="S40" s="30" t="str">
        <f>IF(S38&lt;=S39,"TAK","NIE")</f>
        <v>TAK</v>
      </c>
      <c r="T40" s="30" t="str">
        <f>IF(T38&lt;=T39,"TAK","NIE")</f>
        <v>TAK</v>
      </c>
      <c r="U40" s="30" t="str">
        <f>IF(U38&lt;=U39,"TAK","NIE")</f>
        <v>TAK</v>
      </c>
      <c r="V40" s="30" t="str">
        <f>IF(V38&lt;=V39,"TAK","NIE")</f>
        <v>TAK</v>
      </c>
      <c r="W40" s="30" t="str">
        <f>IF(W38&lt;=W39,"TAK","NIE")</f>
        <v>TAK</v>
      </c>
      <c r="X40" s="30" t="str">
        <f>IF(X38&lt;=X39,"TAK","NIE")</f>
        <v>TAK</v>
      </c>
      <c r="Y40" s="30" t="str">
        <f>IF(Y38&lt;=Y39,"TAK","NIE")</f>
        <v>TAK</v>
      </c>
      <c r="Z40" s="30" t="str">
        <f>IF(Z38&lt;=Z39,"TAK","NIE")</f>
        <v>TAK</v>
      </c>
      <c r="AA40" s="30" t="str">
        <f>IF(AA38&lt;=AA39,"TAK","NIE")</f>
        <v>TAK</v>
      </c>
    </row>
    <row r="41" spans="1:27" ht="36.75">
      <c r="A41" s="12">
        <v>17</v>
      </c>
      <c r="B41" s="31" t="s">
        <v>46</v>
      </c>
      <c r="C41" s="32">
        <f>SUM(C24-C55-C36+C16-zał2!B37)/C8</f>
        <v>0.06294843871374606</v>
      </c>
      <c r="D41" s="32">
        <f>SUM(D24-D55-D36+D16-zał2!C37)/D8</f>
        <v>0.08862409055227406</v>
      </c>
      <c r="E41" s="32">
        <f>SUM(E24-E55-E36+E16-zał2!D37)/E8</f>
        <v>0.079752272500536</v>
      </c>
      <c r="F41" s="32">
        <f>SUM(F24-F55-F36+F16-zał2!E37)/F8</f>
        <v>0.08775242377238743</v>
      </c>
      <c r="G41" s="32">
        <f>SUM(G24-G55-G36+G16-zał2!F37)/G8</f>
        <v>0.0915828029342612</v>
      </c>
      <c r="H41" s="32">
        <f>SUM(H24-H55-H36+H16-zał2!G37)/H8</f>
        <v>0.09679072875421993</v>
      </c>
      <c r="I41" s="32">
        <f>SUM(I24-I55-I36+I16-zał2!H37)/I8</f>
        <v>0.09528525574341158</v>
      </c>
      <c r="J41" s="32">
        <f>SUM(J24-J55-J36+J16-zał2!I37)/J8</f>
        <v>0.058161970747358946</v>
      </c>
      <c r="K41" s="32">
        <f>SUM(K24-K55-K36+K16-zał2!J37)/K8</f>
        <v>0.05352951329151827</v>
      </c>
      <c r="L41" s="32">
        <f>SUM(L24-L55-L36+L16-zał2!K37)/L8</f>
        <v>0.049122754579726584</v>
      </c>
      <c r="M41" s="32">
        <f>SUM(M24-M55-M36+M16-zał2!L37)/M8</f>
        <v>0.04493231937703471</v>
      </c>
      <c r="N41" s="32">
        <f>SUM(N24-N55-N36+N16-zał2!M37)/N8</f>
        <v>0.040949261324092524</v>
      </c>
      <c r="O41" s="32">
        <f>SUM(O24-O55-O36+O16-zał2!N37)/O8</f>
        <v>0.031211975733080415</v>
      </c>
      <c r="P41" s="32">
        <f>SUM(P24-P55-P36+P16-zał2!O37)/P8</f>
        <v>0.014872737102200844</v>
      </c>
      <c r="Q41" s="32">
        <f>SUM(Q24-Q55-Q36+Q16-zał2!P37)/Q8</f>
        <v>0.013806238414894997</v>
      </c>
      <c r="R41" s="32">
        <f>SUM(R24-R55-R36+R16-zał2!Q37)/R8</f>
        <v>0.012790365278676028</v>
      </c>
      <c r="S41" s="32">
        <f>SUM(S24-S55-S36+S16-zał2!R37)/S8</f>
        <v>0.011823039459935208</v>
      </c>
      <c r="T41" s="32">
        <f>SUM(T24-T55-T36+T16-zał2!S37)/T8</f>
        <v>0.010902261869962496</v>
      </c>
      <c r="U41" s="32">
        <f>SUM(U24-U55-U36+U16-zał2!T37)/U8</f>
        <v>0.010026109686327665</v>
      </c>
      <c r="V41" s="32">
        <f>SUM(V24-V55-V36+V16-zał2!U37)/V8</f>
        <v>0.00919273357575567</v>
      </c>
      <c r="W41" s="32">
        <f>SUM(W24-W55-W36+W16-zał2!V37)/W8</f>
        <v>0.008400355014997262</v>
      </c>
      <c r="X41" s="32">
        <f>SUM(X24-X55-X36+X16-zał2!W37)/X8</f>
        <v>0.007647263706314304</v>
      </c>
      <c r="Y41" s="32">
        <f>SUM(Y24-Y55-Y36+Y16-zał2!X37)/Y8</f>
        <v>0.006931815084314087</v>
      </c>
      <c r="Z41" s="32">
        <f>SUM(Z24-Z55-Z36+Z16-zał2!Y37)/Z8</f>
        <v>0.006252121657764807</v>
      </c>
      <c r="AA41" s="32">
        <f>SUM(AA24-AA55-AA36+AA16-zał2!Z37)/AA8</f>
        <v>0.002456025319692987</v>
      </c>
    </row>
    <row r="42" spans="1:27" ht="24.75">
      <c r="A42" s="12">
        <v>18</v>
      </c>
      <c r="B42" s="33" t="s">
        <v>47</v>
      </c>
      <c r="C42" s="27">
        <f>SUM(C34-C35)/C8</f>
        <v>0.3408796292869238</v>
      </c>
      <c r="D42" s="27">
        <f>SUM(D34-D35)/D8</f>
        <v>0.2846602655010411</v>
      </c>
      <c r="E42" s="27">
        <f>SUM(E34-E35)/E8</f>
        <v>0.37593907968241225</v>
      </c>
      <c r="F42" s="27">
        <f>SUM(F34-F35)/F8</f>
        <v>0.4348820436919674</v>
      </c>
      <c r="G42" s="27">
        <f>SUM(G34-G35)/G8</f>
        <v>0.3482029654075251</v>
      </c>
      <c r="H42" s="27">
        <f>SUM(H34-H35)/H8</f>
        <v>0.38043506627747664</v>
      </c>
      <c r="I42" s="27">
        <f>SUM(I34-I35)/I8</f>
        <v>0.32626161035865925</v>
      </c>
      <c r="J42" s="27">
        <f>SUM(J34-J35)/J8</f>
        <v>0.2811145550645185</v>
      </c>
      <c r="K42" s="27">
        <f>SUM(K34-K35)/K8</f>
        <v>0.23838389050945932</v>
      </c>
      <c r="L42" s="27">
        <f>SUM(L34-L35)/L8</f>
        <v>0.19796523427926002</v>
      </c>
      <c r="M42" s="27">
        <f>SUM(M34-M35)/M8</f>
        <v>0.15975829294378743</v>
      </c>
      <c r="N42" s="27">
        <f>SUM(N34-N35)/N8</f>
        <v>0.12366663434975904</v>
      </c>
      <c r="O42" s="27">
        <f>SUM(O34-O35)/O8</f>
        <v>0.09630165994679463</v>
      </c>
      <c r="P42" s="27">
        <f>SUM(P34-P35)/P8</f>
        <v>0.08523119385568248</v>
      </c>
      <c r="Q42" s="27">
        <f>SUM(Q34-Q35)/Q8</f>
        <v>0.07473856618850055</v>
      </c>
      <c r="R42" s="27">
        <f>SUM(R34-R35)/R8</f>
        <v>0.06479906269838613</v>
      </c>
      <c r="S42" s="27">
        <f>SUM(S34-S35)/S8</f>
        <v>0.05538893212529087</v>
      </c>
      <c r="T42" s="27">
        <f>SUM(T34-T35)/T8</f>
        <v>0.04648535065506427</v>
      </c>
      <c r="U42" s="27">
        <f>SUM(U34-U35)/U8</f>
        <v>0.03806638764440664</v>
      </c>
      <c r="V42" s="27">
        <f>SUM(V34-V35)/V8</f>
        <v>0.030110972567724104</v>
      </c>
      <c r="W42" s="27">
        <f>SUM(W34-W35)/W8</f>
        <v>0.022598863143417205</v>
      </c>
      <c r="X42" s="27">
        <f>SUM(X34-X35)/X8</f>
        <v>0.015510614598582759</v>
      </c>
      <c r="Y42" s="27">
        <f>SUM(Y34-Y35)/Y8</f>
        <v>0.008827550032508695</v>
      </c>
      <c r="Z42" s="27">
        <f>SUM(Z34-Z35)/Z8</f>
        <v>0.002532031743033683</v>
      </c>
      <c r="AA42" s="27">
        <f>SUM(AA34-AA35)/AA8</f>
        <v>1.045837169509064E-17</v>
      </c>
    </row>
    <row r="43" spans="1:27" ht="12.75">
      <c r="A43" s="12">
        <v>19</v>
      </c>
      <c r="B43" s="13" t="s">
        <v>48</v>
      </c>
      <c r="C43" s="34">
        <f>SUM(C13,C26)</f>
        <v>46152445</v>
      </c>
      <c r="D43" s="34">
        <f>SUM(D13,D26)</f>
        <v>51664524</v>
      </c>
      <c r="E43" s="34">
        <f>SUM(E13,E26)</f>
        <v>54479628.2</v>
      </c>
      <c r="F43" s="34">
        <f>SUM(F13,F26)</f>
        <v>54856635.79</v>
      </c>
      <c r="G43" s="34">
        <f>SUM(G13,G26)</f>
        <v>60420235.61</v>
      </c>
      <c r="H43" s="34">
        <f>SUM(H13,H26)</f>
        <v>51033300</v>
      </c>
      <c r="I43" s="34">
        <f>SUM(I13,I26)</f>
        <v>52564299</v>
      </c>
      <c r="J43" s="34">
        <f>SUM(J13,J26)</f>
        <v>54141227.97</v>
      </c>
      <c r="K43" s="34">
        <f>SUM(K13,K26)</f>
        <v>55765464.8091</v>
      </c>
      <c r="L43" s="34">
        <f>SUM(L13,L26)</f>
        <v>57438428.753373004</v>
      </c>
      <c r="M43" s="34">
        <f>SUM(M13,M26)</f>
        <v>59161581.615974195</v>
      </c>
      <c r="N43" s="34">
        <f>SUM(N13,N26)</f>
        <v>60936429.06445342</v>
      </c>
      <c r="O43" s="34">
        <f>SUM(O13,O26)</f>
        <v>62764521.936387025</v>
      </c>
      <c r="P43" s="34">
        <f>SUM(P13,P26)</f>
        <v>64647457.59447864</v>
      </c>
      <c r="Q43" s="34">
        <f>SUM(Q13,Q26)</f>
        <v>66586881.322312996</v>
      </c>
      <c r="R43" s="34">
        <f>SUM(R13,R26)</f>
        <v>68584487.76198238</v>
      </c>
      <c r="S43" s="34">
        <f>SUM(S13,S26)</f>
        <v>70642022.39484185</v>
      </c>
      <c r="T43" s="34">
        <f>SUM(T13,T26)</f>
        <v>72761283.0666871</v>
      </c>
      <c r="U43" s="34">
        <f>SUM(U13,U26)</f>
        <v>74944121.55868772</v>
      </c>
      <c r="V43" s="34">
        <f>SUM(V13,V26)</f>
        <v>77192445.20544834</v>
      </c>
      <c r="W43" s="34">
        <f>SUM(W13,W26)</f>
        <v>79508218.5616118</v>
      </c>
      <c r="X43" s="34">
        <f>SUM(X13,X26)</f>
        <v>81893465.11846015</v>
      </c>
      <c r="Y43" s="34">
        <f>SUM(Y13,Y26)</f>
        <v>84350269.07201396</v>
      </c>
      <c r="Z43" s="34">
        <f>SUM(Z13,Z26)</f>
        <v>86880777.14417438</v>
      </c>
      <c r="AA43" s="34">
        <f>SUM(AA13,AA26)</f>
        <v>89487200.45849961</v>
      </c>
    </row>
    <row r="44" spans="1:27" ht="12.75">
      <c r="A44" s="12">
        <v>20</v>
      </c>
      <c r="B44" s="35" t="s">
        <v>49</v>
      </c>
      <c r="C44" s="34">
        <f>SUM(C29,C43)</f>
        <v>64898002</v>
      </c>
      <c r="D44" s="34">
        <f>SUM(D29,D43)</f>
        <v>71336733</v>
      </c>
      <c r="E44" s="34">
        <f>SUM(E29,E43)</f>
        <v>82713065.63</v>
      </c>
      <c r="F44" s="34">
        <f>SUM(F29,F43)</f>
        <v>80446015.95</v>
      </c>
      <c r="G44" s="34">
        <f>SUM(G29,G43)</f>
        <v>91724402.13</v>
      </c>
      <c r="H44" s="34">
        <f>SUM(H29,H43)</f>
        <v>55981527</v>
      </c>
      <c r="I44" s="34">
        <f>SUM(I29,I43)</f>
        <v>55064299</v>
      </c>
      <c r="J44" s="34">
        <f>SUM(J29,J43)</f>
        <v>56641227.97</v>
      </c>
      <c r="K44" s="34">
        <f>SUM(K29,K43)</f>
        <v>58340464.8091</v>
      </c>
      <c r="L44" s="34">
        <f>SUM(L29,L43)</f>
        <v>60090678.753373004</v>
      </c>
      <c r="M44" s="34">
        <f>SUM(M29,M43)</f>
        <v>61893399.115974195</v>
      </c>
      <c r="N44" s="34">
        <f>SUM(N29,N43)</f>
        <v>63750201.08945342</v>
      </c>
      <c r="O44" s="34">
        <f>SUM(O29,O43)</f>
        <v>65662707.122137025</v>
      </c>
      <c r="P44" s="34">
        <f>SUM(P29,P43)</f>
        <v>67632588.33580114</v>
      </c>
      <c r="Q44" s="34">
        <f>SUM(Q29,Q43)</f>
        <v>69661565.98587517</v>
      </c>
      <c r="R44" s="34">
        <f>SUM(R29,R43)</f>
        <v>71751412.96545142</v>
      </c>
      <c r="S44" s="34">
        <f>SUM(S29,S43)</f>
        <v>73903955.35441495</v>
      </c>
      <c r="T44" s="34">
        <f>SUM(T29,T43)</f>
        <v>76121074.01504742</v>
      </c>
      <c r="U44" s="34">
        <f>SUM(U29,U43)</f>
        <v>78404706.23549883</v>
      </c>
      <c r="V44" s="34">
        <f>SUM(V29,V43)</f>
        <v>80756847.42256379</v>
      </c>
      <c r="W44" s="34">
        <f>SUM(W29,W43)</f>
        <v>83179552.84524071</v>
      </c>
      <c r="X44" s="34">
        <f>SUM(X29,X43)</f>
        <v>85674939.43059793</v>
      </c>
      <c r="Y44" s="34">
        <f>SUM(Y29,Y43)</f>
        <v>88245187.61351587</v>
      </c>
      <c r="Z44" s="34">
        <f>SUM(Z29,Z43)</f>
        <v>90892543.24192135</v>
      </c>
      <c r="AA44" s="34">
        <f>SUM(AA29,AA43)</f>
        <v>93619319.53917898</v>
      </c>
    </row>
    <row r="45" spans="1:27" ht="12.75">
      <c r="A45" s="36">
        <v>21</v>
      </c>
      <c r="B45" s="37" t="s">
        <v>50</v>
      </c>
      <c r="C45" s="34">
        <f>SUM(C8-C44)</f>
        <v>-8295089</v>
      </c>
      <c r="D45" s="34">
        <f>SUM(D8-D44)</f>
        <v>-5698271</v>
      </c>
      <c r="E45" s="34">
        <f>SUM(E8-E44)</f>
        <v>-6646369.599999994</v>
      </c>
      <c r="F45" s="34">
        <f>SUM(F8-F44)</f>
        <v>-7771882.680000007</v>
      </c>
      <c r="G45" s="34">
        <f>SUM(G8-G44)</f>
        <v>-1803765</v>
      </c>
      <c r="H45" s="34">
        <f>SUM(H8-H44)</f>
        <v>14125686.240030006</v>
      </c>
      <c r="I45" s="34">
        <f>SUM(I8-I44)</f>
        <v>12463876.646470934</v>
      </c>
      <c r="J45" s="34">
        <f>SUM(J8-J44)</f>
        <v>12976680.437511533</v>
      </c>
      <c r="K45" s="34">
        <f>SUM(K8-K44)</f>
        <v>13431848.854524389</v>
      </c>
      <c r="L45" s="34">
        <f>SUM(L8-L44)</f>
        <v>13902714.232168145</v>
      </c>
      <c r="M45" s="34">
        <f>SUM(M8-M44)</f>
        <v>14389810.778413467</v>
      </c>
      <c r="N45" s="34">
        <f>SUM(N8-N44)</f>
        <v>14893690.68974384</v>
      </c>
      <c r="O45" s="34">
        <f>SUM(O8-O44)</f>
        <v>15414924.751641423</v>
      </c>
      <c r="P45" s="34">
        <f>SUM(P8-P44)</f>
        <v>15954102.958973318</v>
      </c>
      <c r="Q45" s="34">
        <f>SUM(Q8-Q44)</f>
        <v>16511835.156933412</v>
      </c>
      <c r="R45" s="34">
        <f>SUM(R8-R44)</f>
        <v>17088751.70321724</v>
      </c>
      <c r="S45" s="34">
        <f>SUM(S8-S44)</f>
        <v>17685504.15212843</v>
      </c>
      <c r="T45" s="34">
        <f>SUM(T8-T44)</f>
        <v>18302765.961339206</v>
      </c>
      <c r="U45" s="34">
        <f>SUM(U8-U44)</f>
        <v>18941233.22205037</v>
      </c>
      <c r="V45" s="34">
        <f>SUM(V8-V44)</f>
        <v>19601625.41332087</v>
      </c>
      <c r="W45" s="34">
        <f>SUM(W8-W44)</f>
        <v>20284686.181362346</v>
      </c>
      <c r="X45" s="34">
        <f>SUM(X8-X44)</f>
        <v>20991184.14461997</v>
      </c>
      <c r="Y45" s="34">
        <f>SUM(Y8-Y44)</f>
        <v>21721913.725487664</v>
      </c>
      <c r="Z45" s="34">
        <f>SUM(Z8-Z44)</f>
        <v>22477696.009533763</v>
      </c>
      <c r="AA45" s="34">
        <f>SUM(AA8-AA44)</f>
        <v>23259379.633141994</v>
      </c>
    </row>
    <row r="46" spans="1:27" ht="12.75">
      <c r="A46" s="36">
        <v>22</v>
      </c>
      <c r="B46" s="37" t="s">
        <v>51</v>
      </c>
      <c r="C46" s="34">
        <f>SUM(C31,C20)</f>
        <v>16619580</v>
      </c>
      <c r="D46" s="34">
        <f>SUM(D31,D20)</f>
        <v>14873160</v>
      </c>
      <c r="E46" s="34">
        <f>SUM(E31,E20)</f>
        <v>18926628</v>
      </c>
      <c r="F46" s="34">
        <f>SUM(F31,F20)</f>
        <v>15184094.68</v>
      </c>
      <c r="G46" s="34">
        <f>SUM(G31,G20)</f>
        <v>9084905.89</v>
      </c>
      <c r="H46" s="34">
        <f>SUM(H31,H20)</f>
        <v>750000</v>
      </c>
      <c r="I46" s="34">
        <f>SUM(I31,I20)</f>
        <v>14875686.240030006</v>
      </c>
      <c r="J46" s="34">
        <f>SUM(J31,J20)</f>
        <v>13213876.646470934</v>
      </c>
      <c r="K46" s="34">
        <f>SUM(K31,K20)</f>
        <v>13726680.437511533</v>
      </c>
      <c r="L46" s="34">
        <f>SUM(L31,L20)</f>
        <v>14181848.854524389</v>
      </c>
      <c r="M46" s="34">
        <f>SUM(M31,M20)</f>
        <v>14652714.232168145</v>
      </c>
      <c r="N46" s="34">
        <f>SUM(N31,N20)</f>
        <v>15139810.778413467</v>
      </c>
      <c r="O46" s="34">
        <f>SUM(O31,O20)</f>
        <v>15643690.68974384</v>
      </c>
      <c r="P46" s="34">
        <f>SUM(P31,P20)</f>
        <v>16164924.751641423</v>
      </c>
      <c r="Q46" s="34">
        <f>SUM(Q31,Q20)</f>
        <v>16704102.958973318</v>
      </c>
      <c r="R46" s="34">
        <f>SUM(R31,R20)</f>
        <v>17261835.156933412</v>
      </c>
      <c r="S46" s="34">
        <f>SUM(S31,S20)</f>
        <v>17838751.70321724</v>
      </c>
      <c r="T46" s="34">
        <f>SUM(T31,T20)</f>
        <v>18435504.15212843</v>
      </c>
      <c r="U46" s="34">
        <f>SUM(U31,U20)</f>
        <v>19052765.961339206</v>
      </c>
      <c r="V46" s="34">
        <f>SUM(V31,V20)</f>
        <v>19691233.22205037</v>
      </c>
      <c r="W46" s="34">
        <f>SUM(W31,W20)</f>
        <v>20351625.41332087</v>
      </c>
      <c r="X46" s="34">
        <f>SUM(X31,X20)</f>
        <v>21034686.181362346</v>
      </c>
      <c r="Y46" s="34">
        <f>SUM(Y31,Y20)</f>
        <v>21741184.14461997</v>
      </c>
      <c r="Z46" s="34">
        <f>SUM(Z31,Z20)</f>
        <v>22471913.725487664</v>
      </c>
      <c r="AA46" s="34">
        <f>SUM(AA31,AA20)</f>
        <v>23227696.009533763</v>
      </c>
    </row>
    <row r="47" spans="1:27" ht="12.75">
      <c r="A47" s="36">
        <v>23</v>
      </c>
      <c r="B47" s="37" t="s">
        <v>52</v>
      </c>
      <c r="C47" s="38">
        <f>SUM(C25,C27)</f>
        <v>4216859</v>
      </c>
      <c r="D47" s="38">
        <f>SUM(D25,D27)</f>
        <v>5932009</v>
      </c>
      <c r="E47" s="38">
        <f>SUM(E25,E27)</f>
        <v>6476116.28</v>
      </c>
      <c r="F47" s="38">
        <f>SUM(F25,F27)</f>
        <v>6701134</v>
      </c>
      <c r="G47" s="38">
        <f>SUM(G25,G27)</f>
        <v>7281140.890000001</v>
      </c>
      <c r="H47" s="38">
        <f>SUM(H25,H27)</f>
        <v>5854825.4345</v>
      </c>
      <c r="I47" s="38">
        <f>SUM(I25,I27)</f>
        <v>5854826.2345</v>
      </c>
      <c r="J47" s="38">
        <f>SUM(J25,J27)</f>
        <v>3452962.2345</v>
      </c>
      <c r="K47" s="38">
        <f>SUM(K25,K27)</f>
        <v>3452962.2345</v>
      </c>
      <c r="L47" s="38">
        <f>SUM(L25,L27)</f>
        <v>3452962.2345</v>
      </c>
      <c r="M47" s="38">
        <f>SUM(M25,M27)</f>
        <v>3452962.2345</v>
      </c>
      <c r="N47" s="38">
        <f>SUM(N25,N27)</f>
        <v>3452971.2345</v>
      </c>
      <c r="O47" s="38">
        <f>SUM(O25,O27)</f>
        <v>2438018.1245</v>
      </c>
      <c r="P47" s="38">
        <f>SUM(P25,P27)</f>
        <v>890539.3945</v>
      </c>
      <c r="Q47" s="38">
        <f>SUM(Q25,Q27)</f>
        <v>890539.3945</v>
      </c>
      <c r="R47" s="38">
        <f>SUM(R25,R27)</f>
        <v>890539.3945</v>
      </c>
      <c r="S47" s="38">
        <f>SUM(S25,S27)</f>
        <v>890539.3945</v>
      </c>
      <c r="T47" s="38">
        <f>SUM(T25,T27)</f>
        <v>890539.3945</v>
      </c>
      <c r="U47" s="38">
        <f>SUM(U25,U27)</f>
        <v>890539.3945</v>
      </c>
      <c r="V47" s="38">
        <f>SUM(V25,V27)</f>
        <v>890539.3945</v>
      </c>
      <c r="W47" s="38">
        <f>SUM(W25,W27)</f>
        <v>890539.3945</v>
      </c>
      <c r="X47" s="38">
        <f>SUM(X25,X27)</f>
        <v>890539.3945</v>
      </c>
      <c r="Y47" s="38">
        <f>SUM(Y25,Y27)</f>
        <v>890539.3945</v>
      </c>
      <c r="Z47" s="38">
        <f>SUM(Z25,Z27)</f>
        <v>890551.3945</v>
      </c>
      <c r="AA47" s="38">
        <f>SUM(AA25,AA27)</f>
        <v>418691.39450000005</v>
      </c>
    </row>
    <row r="48" spans="2:6" ht="12.75">
      <c r="B48" t="s">
        <v>53</v>
      </c>
      <c r="F48" s="6"/>
    </row>
    <row r="49" spans="6:26" ht="12.75">
      <c r="F49" s="6"/>
      <c r="X49" s="39"/>
      <c r="Y49" s="39"/>
      <c r="Z49" s="39"/>
    </row>
    <row r="50" spans="6:26" ht="12.75">
      <c r="F50" s="6"/>
      <c r="X50" s="39"/>
      <c r="Y50" s="39"/>
      <c r="Z50" s="39"/>
    </row>
    <row r="51" spans="1:27" ht="12.75">
      <c r="A51" s="40"/>
      <c r="B51" s="40"/>
      <c r="C51" s="40"/>
      <c r="D51" s="40"/>
      <c r="E51" s="40"/>
      <c r="F51" s="40">
        <v>2011</v>
      </c>
      <c r="G51" s="40">
        <v>2012</v>
      </c>
      <c r="H51" s="40">
        <v>2013</v>
      </c>
      <c r="I51" s="40">
        <v>2014</v>
      </c>
      <c r="J51" s="40">
        <v>2015</v>
      </c>
      <c r="K51" s="40">
        <v>2016</v>
      </c>
      <c r="L51" s="40">
        <v>2017</v>
      </c>
      <c r="M51" s="40">
        <v>2018</v>
      </c>
      <c r="N51" s="40">
        <v>2019</v>
      </c>
      <c r="O51" s="40">
        <v>2020</v>
      </c>
      <c r="P51" s="40">
        <v>2021</v>
      </c>
      <c r="Q51" s="40">
        <v>2022</v>
      </c>
      <c r="R51" s="40">
        <v>2023</v>
      </c>
      <c r="S51" s="40">
        <v>2024</v>
      </c>
      <c r="T51" s="40">
        <v>2025</v>
      </c>
      <c r="U51" s="40">
        <v>2026</v>
      </c>
      <c r="V51" s="40">
        <v>2027</v>
      </c>
      <c r="W51" s="40">
        <v>2028</v>
      </c>
      <c r="X51" s="40">
        <v>2029</v>
      </c>
      <c r="Y51" s="40">
        <v>2030</v>
      </c>
      <c r="Z51" s="40">
        <v>2031</v>
      </c>
      <c r="AA51" s="40">
        <v>2032</v>
      </c>
    </row>
    <row r="52" spans="1:27" ht="12.75">
      <c r="A52" s="40"/>
      <c r="B52" s="40"/>
      <c r="C52" s="40"/>
      <c r="D52" s="40"/>
      <c r="E52" s="40"/>
      <c r="F52" s="41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spans="1:27" ht="12.75">
      <c r="A53" s="41"/>
      <c r="B53" s="42" t="s">
        <v>54</v>
      </c>
      <c r="C53" s="43">
        <f>zał2!B13</f>
        <v>46152445</v>
      </c>
      <c r="D53" s="43">
        <f>zał2!C13</f>
        <v>51664524</v>
      </c>
      <c r="E53" s="43">
        <f>zał2!D13</f>
        <v>54479628.2</v>
      </c>
      <c r="F53" s="43">
        <f>zał2!E13</f>
        <v>54856635.79</v>
      </c>
      <c r="G53" s="43">
        <f>zał2!F13</f>
        <v>60420235.61</v>
      </c>
      <c r="H53" s="43">
        <f>zał2!G13</f>
        <v>51033300</v>
      </c>
      <c r="I53" s="43">
        <f>zał2!H13</f>
        <v>52564299</v>
      </c>
      <c r="J53" s="43">
        <f>zał2!I13</f>
        <v>54141227.97</v>
      </c>
      <c r="K53" s="43">
        <f>zał2!J13</f>
        <v>55765464.8091</v>
      </c>
      <c r="L53" s="43">
        <f>zał2!K13</f>
        <v>57438428.753373004</v>
      </c>
      <c r="M53" s="43">
        <f>zał2!L13</f>
        <v>59161581.615974195</v>
      </c>
      <c r="N53" s="43">
        <f>zał2!M13</f>
        <v>60936429.06445342</v>
      </c>
      <c r="O53" s="43">
        <f>zał2!N13</f>
        <v>62764521.936387025</v>
      </c>
      <c r="P53" s="43">
        <f>zał2!O13</f>
        <v>64647457.59447864</v>
      </c>
      <c r="Q53" s="43">
        <f>zał2!P13</f>
        <v>66586881.322312996</v>
      </c>
      <c r="R53" s="43">
        <f>zał2!Q13</f>
        <v>68584487.76198238</v>
      </c>
      <c r="S53" s="43">
        <f>zał2!R13</f>
        <v>70642022.39484185</v>
      </c>
      <c r="T53" s="43">
        <f>zał2!S13</f>
        <v>72761283.0666871</v>
      </c>
      <c r="U53" s="43">
        <f>zał2!T13</f>
        <v>74944121.55868772</v>
      </c>
      <c r="V53" s="43">
        <f>zał2!U13</f>
        <v>77192445.20544834</v>
      </c>
      <c r="W53" s="43">
        <f>zał2!V13</f>
        <v>79508218.5616118</v>
      </c>
      <c r="X53" s="43">
        <f>zał2!W13</f>
        <v>81893465.11846015</v>
      </c>
      <c r="Y53" s="43">
        <f>zał2!X13</f>
        <v>84350269.07201396</v>
      </c>
      <c r="Z53" s="43">
        <f>zał2!Y13</f>
        <v>86880777.14417438</v>
      </c>
      <c r="AA53" s="43">
        <f>zał2!Z13</f>
        <v>89487200.45849961</v>
      </c>
    </row>
    <row r="54" spans="1:27" ht="12.75">
      <c r="A54" s="41"/>
      <c r="B54" s="42" t="s">
        <v>55</v>
      </c>
      <c r="C54" s="43"/>
      <c r="D54" s="43"/>
      <c r="E54" s="43"/>
      <c r="F54" s="43">
        <f>zał2!E40</f>
        <v>1650727.24</v>
      </c>
      <c r="G54" s="43">
        <f>zał2!F40</f>
        <v>2200000</v>
      </c>
      <c r="H54" s="43">
        <f>zał2!G40</f>
        <v>2146338.07593</v>
      </c>
      <c r="I54" s="43">
        <f>zał2!H40</f>
        <v>1795048.5018600002</v>
      </c>
      <c r="J54" s="43">
        <f>zał2!I40</f>
        <v>1587870.7677900002</v>
      </c>
      <c r="K54" s="43">
        <f>zał2!J40</f>
        <v>1380693.0337200004</v>
      </c>
      <c r="L54" s="43">
        <f>zał2!K40</f>
        <v>1173515.2996500004</v>
      </c>
      <c r="M54" s="43">
        <f>zał2!L40</f>
        <v>966337.5655800004</v>
      </c>
      <c r="N54" s="43">
        <f>zał2!M40</f>
        <v>759159.2915100005</v>
      </c>
      <c r="O54" s="43">
        <f>zał2!N40</f>
        <v>612878.2040400004</v>
      </c>
      <c r="P54" s="43">
        <f>zał2!O40</f>
        <v>559445.8403700005</v>
      </c>
      <c r="Q54" s="43">
        <f>zał2!P40</f>
        <v>506013.47670000046</v>
      </c>
      <c r="R54" s="43">
        <f>zał2!Q40</f>
        <v>452581.1130300004</v>
      </c>
      <c r="S54" s="43">
        <f>zał2!R40</f>
        <v>399148.7493600004</v>
      </c>
      <c r="T54" s="43">
        <f>zał2!S40</f>
        <v>345716.3856900004</v>
      </c>
      <c r="U54" s="43">
        <f>zał2!T40</f>
        <v>292284.0220200004</v>
      </c>
      <c r="V54" s="43">
        <f>zał2!U40</f>
        <v>238851.65835000036</v>
      </c>
      <c r="W54" s="43">
        <f>zał2!V40</f>
        <v>185419.29468000037</v>
      </c>
      <c r="X54" s="43">
        <f>zał2!W40</f>
        <v>131986.93101000038</v>
      </c>
      <c r="Y54" s="43">
        <f>zał2!X40</f>
        <v>78554.56734000039</v>
      </c>
      <c r="Z54" s="43">
        <f>zał2!Y40</f>
        <v>25121.48367000038</v>
      </c>
      <c r="AA54" s="43">
        <f>zał2!Z40</f>
        <v>0</v>
      </c>
    </row>
    <row r="55" spans="1:27" ht="12.75">
      <c r="A55" s="41"/>
      <c r="B55" s="42" t="s">
        <v>56</v>
      </c>
      <c r="C55" s="43"/>
      <c r="D55" s="43"/>
      <c r="E55" s="43"/>
      <c r="F55" s="44">
        <v>300000</v>
      </c>
      <c r="G55" s="44">
        <v>200000</v>
      </c>
      <c r="H55" s="43">
        <f>zał2!G18*0.03</f>
        <v>0</v>
      </c>
      <c r="I55" s="43">
        <f>zał2!H18*0.03</f>
        <v>0</v>
      </c>
      <c r="J55" s="43">
        <f>zał2!I18*0.03</f>
        <v>0</v>
      </c>
      <c r="K55" s="43">
        <f>zał2!J18*0.03</f>
        <v>0</v>
      </c>
      <c r="L55" s="43">
        <f>zał2!K18*0.03</f>
        <v>0</v>
      </c>
      <c r="M55" s="43">
        <f>zał2!L18*0.03</f>
        <v>0</v>
      </c>
      <c r="N55" s="43">
        <f>zał2!M18*0.03</f>
        <v>0</v>
      </c>
      <c r="O55" s="43">
        <f>zał2!N18*0.03</f>
        <v>0</v>
      </c>
      <c r="P55" s="43">
        <f>zał2!O18*0.03</f>
        <v>0</v>
      </c>
      <c r="Q55" s="43">
        <f>zał2!P18*0.03</f>
        <v>0</v>
      </c>
      <c r="R55" s="43">
        <f>zał2!Q18*0.03</f>
        <v>0</v>
      </c>
      <c r="S55" s="43">
        <f>zał2!R18*0.03</f>
        <v>0</v>
      </c>
      <c r="T55" s="43">
        <f>zał2!S18*0.03</f>
        <v>0</v>
      </c>
      <c r="U55" s="43">
        <f>zał2!T18*0.03</f>
        <v>0</v>
      </c>
      <c r="V55" s="43">
        <f>zał2!U18*0.03</f>
        <v>0</v>
      </c>
      <c r="W55" s="43">
        <f>zał2!V18*0.03</f>
        <v>0</v>
      </c>
      <c r="X55" s="43">
        <f>zał2!W18*0.03</f>
        <v>0</v>
      </c>
      <c r="Y55" s="43">
        <f>zał2!X18*0.03</f>
        <v>0</v>
      </c>
      <c r="Z55" s="43">
        <f>zał2!Y18*0.03</f>
        <v>0</v>
      </c>
      <c r="AA55" s="43">
        <f>zał2!Z18*0.03</f>
        <v>0</v>
      </c>
    </row>
    <row r="56" spans="1:27" ht="12.75">
      <c r="A56" s="41"/>
      <c r="B56" s="42" t="s">
        <v>57</v>
      </c>
      <c r="C56" s="44">
        <v>789474</v>
      </c>
      <c r="D56" s="44">
        <v>1074774</v>
      </c>
      <c r="E56" s="43">
        <f>zał2!D40</f>
        <v>1251424.59</v>
      </c>
      <c r="F56" s="43">
        <f>SUM(F54:F55)</f>
        <v>1950727.24</v>
      </c>
      <c r="G56" s="43">
        <f>SUM(G54:G55)</f>
        <v>2400000</v>
      </c>
      <c r="H56" s="43">
        <f>SUM(H54:H55)</f>
        <v>2146338.07593</v>
      </c>
      <c r="I56" s="43">
        <f>SUM(I54:I55)</f>
        <v>1795048.5018600002</v>
      </c>
      <c r="J56" s="43">
        <f>SUM(J54:J55)</f>
        <v>1587870.7677900002</v>
      </c>
      <c r="K56" s="43">
        <f>SUM(K54:K55)</f>
        <v>1380693.0337200004</v>
      </c>
      <c r="L56" s="43">
        <f>SUM(L54:L55)</f>
        <v>1173515.2996500004</v>
      </c>
      <c r="M56" s="43">
        <f>SUM(M54:M55)</f>
        <v>966337.5655800004</v>
      </c>
      <c r="N56" s="43">
        <f>SUM(N54:N55)</f>
        <v>759159.2915100005</v>
      </c>
      <c r="O56" s="43">
        <f>SUM(O54:O55)</f>
        <v>612878.2040400004</v>
      </c>
      <c r="P56" s="43">
        <f>SUM(P54:P55)</f>
        <v>559445.8403700005</v>
      </c>
      <c r="Q56" s="43">
        <f>SUM(Q54:Q55)</f>
        <v>506013.47670000046</v>
      </c>
      <c r="R56" s="43">
        <f>SUM(R54:R55)</f>
        <v>452581.1130300004</v>
      </c>
      <c r="S56" s="43">
        <f>SUM(S54:S55)</f>
        <v>399148.7493600004</v>
      </c>
      <c r="T56" s="43">
        <f>SUM(T54:T55)</f>
        <v>345716.3856900004</v>
      </c>
      <c r="U56" s="43">
        <f>SUM(U54:U55)</f>
        <v>292284.0220200004</v>
      </c>
      <c r="V56" s="43">
        <f>SUM(V54:V55)</f>
        <v>238851.65835000036</v>
      </c>
      <c r="W56" s="43">
        <f>SUM(W54:W55)</f>
        <v>185419.29468000037</v>
      </c>
      <c r="X56" s="43">
        <f>SUM(X54:X55)</f>
        <v>131986.93101000038</v>
      </c>
      <c r="Y56" s="43">
        <f>SUM(Y54:Y55)</f>
        <v>78554.56734000039</v>
      </c>
      <c r="Z56" s="43">
        <f>SUM(Z54:Z55)</f>
        <v>25121.48367000038</v>
      </c>
      <c r="AA56" s="43">
        <f>SUM(AA54:AA55)</f>
        <v>0</v>
      </c>
    </row>
    <row r="57" spans="1:27" ht="12.75">
      <c r="A57" s="41"/>
      <c r="B57" s="42" t="s">
        <v>58</v>
      </c>
      <c r="C57" s="45">
        <f>SUM(C53-C56)</f>
        <v>45362971</v>
      </c>
      <c r="D57" s="45">
        <f>SUM(D53-D56)</f>
        <v>50589750</v>
      </c>
      <c r="E57" s="45">
        <f>SUM(E53-E56)</f>
        <v>53228203.61</v>
      </c>
      <c r="F57" s="45">
        <f>SUM(F53-F56)</f>
        <v>52905908.55</v>
      </c>
      <c r="G57" s="45">
        <f>SUM(G53-G56)</f>
        <v>58020235.61</v>
      </c>
      <c r="H57" s="45">
        <f>SUM(H53-H56)</f>
        <v>48886961.92407</v>
      </c>
      <c r="I57" s="45">
        <f>SUM(I53-I56)</f>
        <v>50769250.49814</v>
      </c>
      <c r="J57" s="45">
        <f>SUM(J53-J56)</f>
        <v>52553357.20221</v>
      </c>
      <c r="K57" s="45">
        <f>SUM(K53-K56)</f>
        <v>54384771.77538</v>
      </c>
      <c r="L57" s="45">
        <f>SUM(L53-L56)</f>
        <v>56264913.453723006</v>
      </c>
      <c r="M57" s="45">
        <f>SUM(M53-M56)</f>
        <v>58195244.05039419</v>
      </c>
      <c r="N57" s="45">
        <f>SUM(N53-N56)</f>
        <v>60177269.77294342</v>
      </c>
      <c r="O57" s="45">
        <f>SUM(O53-O56)</f>
        <v>62151643.73234703</v>
      </c>
      <c r="P57" s="45">
        <f>SUM(P53-P56)</f>
        <v>64088011.75410864</v>
      </c>
      <c r="Q57" s="45">
        <f>SUM(Q53-Q56)</f>
        <v>66080867.845612995</v>
      </c>
      <c r="R57" s="45">
        <f>SUM(R53-R56)</f>
        <v>68131906.64895238</v>
      </c>
      <c r="S57" s="45">
        <f>SUM(S53-S56)</f>
        <v>70242873.64548185</v>
      </c>
      <c r="T57" s="45">
        <f>SUM(T53-T56)</f>
        <v>72415566.6809971</v>
      </c>
      <c r="U57" s="45">
        <f>SUM(U53-U56)</f>
        <v>74651837.53666772</v>
      </c>
      <c r="V57" s="45">
        <f>SUM(V53-V56)</f>
        <v>76953593.54709834</v>
      </c>
      <c r="W57" s="45">
        <f>SUM(W53-W56)</f>
        <v>79322799.2669318</v>
      </c>
      <c r="X57" s="45">
        <f>SUM(X53-X56)</f>
        <v>81761478.18745016</v>
      </c>
      <c r="Y57" s="45">
        <f>SUM(Y53-Y56)</f>
        <v>84271714.50467396</v>
      </c>
      <c r="Z57" s="45">
        <f>SUM(Z53-Z56)</f>
        <v>86855655.66050439</v>
      </c>
      <c r="AA57" s="45">
        <f>SUM(AA53-AA56)</f>
        <v>89487200.45849961</v>
      </c>
    </row>
    <row r="58" spans="1:27" ht="12.75">
      <c r="A58" s="40"/>
      <c r="B58" s="40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</row>
    <row r="59" spans="1:27" ht="12.75">
      <c r="A59" s="40"/>
      <c r="B59" s="40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</row>
    <row r="60" spans="1:27" ht="12.75">
      <c r="A60" s="40"/>
      <c r="B60" s="46" t="s">
        <v>59</v>
      </c>
      <c r="C60" s="45"/>
      <c r="D60" s="45"/>
      <c r="E60" s="47">
        <v>0</v>
      </c>
      <c r="F60" s="44">
        <v>0</v>
      </c>
      <c r="G60" s="48">
        <v>0</v>
      </c>
      <c r="H60" s="43">
        <f>zał2!G15</f>
        <v>14125686.240030006</v>
      </c>
      <c r="I60" s="43">
        <f>zał2!H15</f>
        <v>12463876.646470934</v>
      </c>
      <c r="J60" s="43">
        <f>zał2!I15</f>
        <v>12976680.437511533</v>
      </c>
      <c r="K60" s="43">
        <f>zał2!J15</f>
        <v>13431848.854524389</v>
      </c>
      <c r="L60" s="43">
        <f>zał2!K15</f>
        <v>13902714.232168145</v>
      </c>
      <c r="M60" s="43">
        <f>zał2!L15</f>
        <v>14389810.778413467</v>
      </c>
      <c r="N60" s="43">
        <f>zał2!M15</f>
        <v>14893690.68974384</v>
      </c>
      <c r="O60" s="43">
        <f>zał2!N15</f>
        <v>15414924.751641423</v>
      </c>
      <c r="P60" s="43">
        <f>zał2!O15</f>
        <v>15954102.958973318</v>
      </c>
      <c r="Q60" s="43">
        <f>zał2!P15</f>
        <v>16511835.156933412</v>
      </c>
      <c r="R60" s="43">
        <f>zał2!Q15</f>
        <v>17088751.70321724</v>
      </c>
      <c r="S60" s="43">
        <f>zał2!R15</f>
        <v>17685504.15212843</v>
      </c>
      <c r="T60" s="43">
        <f>zał2!S15</f>
        <v>18302765.961339206</v>
      </c>
      <c r="U60" s="43">
        <f>zał2!T15</f>
        <v>18941233.22205037</v>
      </c>
      <c r="V60" s="43">
        <f>zał2!U15</f>
        <v>19601625.41332087</v>
      </c>
      <c r="W60" s="43">
        <f>zał2!V15</f>
        <v>20284686.181362346</v>
      </c>
      <c r="X60" s="43">
        <f>zał2!W15</f>
        <v>20991184.14461997</v>
      </c>
      <c r="Y60" s="43">
        <f>zał2!X15</f>
        <v>21721913.725487664</v>
      </c>
      <c r="Z60" s="43">
        <f>zał2!Y15</f>
        <v>22477696.009533763</v>
      </c>
      <c r="AA60" s="43">
        <f>zał2!Z15</f>
        <v>23259379.633141994</v>
      </c>
    </row>
    <row r="61" spans="1:27" ht="12.75">
      <c r="A61" s="40"/>
      <c r="B61" s="46" t="s">
        <v>60</v>
      </c>
      <c r="C61" s="43"/>
      <c r="D61" s="43"/>
      <c r="E61" s="47"/>
      <c r="F61" s="49">
        <f>zał2!E25</f>
        <v>5983046.68</v>
      </c>
      <c r="G61" s="49">
        <f>zał2!F25</f>
        <v>711078</v>
      </c>
      <c r="H61" s="49">
        <f>zał2!G25</f>
        <v>750000</v>
      </c>
      <c r="I61" s="49">
        <f>zał2!H25</f>
        <v>750000</v>
      </c>
      <c r="J61" s="49">
        <f>zał2!I25</f>
        <v>750000</v>
      </c>
      <c r="K61" s="49">
        <f>zał2!J25</f>
        <v>750000</v>
      </c>
      <c r="L61" s="49">
        <f>zał2!K25</f>
        <v>750000</v>
      </c>
      <c r="M61" s="49">
        <f>zał2!L25</f>
        <v>750000</v>
      </c>
      <c r="N61" s="49">
        <f>zał2!M25</f>
        <v>750000</v>
      </c>
      <c r="O61" s="49">
        <f>zał2!N25</f>
        <v>750000</v>
      </c>
      <c r="P61" s="49">
        <f>zał2!O25</f>
        <v>750000</v>
      </c>
      <c r="Q61" s="49">
        <f>zał2!P25</f>
        <v>750000</v>
      </c>
      <c r="R61" s="49">
        <f>zał2!Q25</f>
        <v>750000</v>
      </c>
      <c r="S61" s="49">
        <f>zał2!R25</f>
        <v>750000</v>
      </c>
      <c r="T61" s="49">
        <f>zał2!S25</f>
        <v>750000</v>
      </c>
      <c r="U61" s="49">
        <f>zał2!T25</f>
        <v>750000</v>
      </c>
      <c r="V61" s="49">
        <f>zał2!U25</f>
        <v>750000</v>
      </c>
      <c r="W61" s="49">
        <f>zał2!V25</f>
        <v>750000</v>
      </c>
      <c r="X61" s="49">
        <f>zał2!W25</f>
        <v>750000</v>
      </c>
      <c r="Y61" s="49">
        <f>zał2!X25</f>
        <v>750000</v>
      </c>
      <c r="Z61" s="49">
        <f>zał2!Y25</f>
        <v>750000</v>
      </c>
      <c r="AA61" s="49">
        <f>zał2!Z25</f>
        <v>750000</v>
      </c>
    </row>
    <row r="62" spans="1:27" ht="24.75">
      <c r="A62" s="40"/>
      <c r="B62" s="50" t="s">
        <v>23</v>
      </c>
      <c r="C62" s="51"/>
      <c r="D62" s="51"/>
      <c r="E62" s="51"/>
      <c r="F62" s="45">
        <f>SUM(E60+F61)</f>
        <v>5983046.68</v>
      </c>
      <c r="G62" s="45">
        <f>SUM(F60+G61)</f>
        <v>711078</v>
      </c>
      <c r="H62" s="45">
        <f>SUM(G60+H61)</f>
        <v>750000</v>
      </c>
      <c r="I62" s="45">
        <f>SUM(H60+I61)</f>
        <v>14875686.240030006</v>
      </c>
      <c r="J62" s="45">
        <f>SUM(I60+J61)</f>
        <v>13213876.646470934</v>
      </c>
      <c r="K62" s="45">
        <f>SUM(J60+K61)</f>
        <v>13726680.437511533</v>
      </c>
      <c r="L62" s="45">
        <f>SUM(K60+L61)</f>
        <v>14181848.854524389</v>
      </c>
      <c r="M62" s="45">
        <f>SUM(L60+M61)</f>
        <v>14652714.232168145</v>
      </c>
      <c r="N62" s="45">
        <f>SUM(M60+N61)</f>
        <v>15139810.778413467</v>
      </c>
      <c r="O62" s="45">
        <f>SUM(N60+O61)</f>
        <v>15643690.68974384</v>
      </c>
      <c r="P62" s="45">
        <f>SUM(O60+P61)</f>
        <v>16164924.751641423</v>
      </c>
      <c r="Q62" s="45">
        <f>SUM(P60+Q61)</f>
        <v>16704102.958973318</v>
      </c>
      <c r="R62" s="45">
        <f>SUM(Q60+R61)</f>
        <v>17261835.156933412</v>
      </c>
      <c r="S62" s="45">
        <f>SUM(R60+S61)</f>
        <v>17838751.70321724</v>
      </c>
      <c r="T62" s="45">
        <f>SUM(S60+T61)</f>
        <v>18435504.15212843</v>
      </c>
      <c r="U62" s="45">
        <f>SUM(T60+U61)</f>
        <v>19052765.961339206</v>
      </c>
      <c r="V62" s="45">
        <f>SUM(U60+V61)</f>
        <v>19691233.22205037</v>
      </c>
      <c r="W62" s="45">
        <f>SUM(V60+W61)</f>
        <v>20351625.41332087</v>
      </c>
      <c r="X62" s="45">
        <f>SUM(W60+X61)</f>
        <v>21034686.181362346</v>
      </c>
      <c r="Y62" s="45">
        <f>SUM(X60+Y61)</f>
        <v>21741184.14461997</v>
      </c>
      <c r="Z62" s="45">
        <f>SUM(Y60+Z61)</f>
        <v>22471913.725487664</v>
      </c>
      <c r="AA62" s="45">
        <f>SUM(Z60+AA61)</f>
        <v>23227696.009533763</v>
      </c>
    </row>
    <row r="63" spans="1:27" ht="12.75">
      <c r="A63" s="40"/>
      <c r="B63" s="40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</row>
    <row r="64" spans="1:27" ht="12.75">
      <c r="A64" s="40"/>
      <c r="B64" s="40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</row>
    <row r="65" spans="1:27" ht="12.75">
      <c r="A65" s="40"/>
      <c r="B65" s="40"/>
      <c r="C65" s="40"/>
      <c r="D65" s="40"/>
      <c r="E65" s="40"/>
      <c r="F65" s="41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</row>
    <row r="66" ht="12.75">
      <c r="F66" s="6"/>
    </row>
    <row r="67" ht="12.75">
      <c r="F67" s="6"/>
    </row>
  </sheetData>
  <sheetProtection selectLockedCells="1" selectUnlockedCells="1"/>
  <mergeCells count="11">
    <mergeCell ref="B1:M1"/>
    <mergeCell ref="Y1:AA1"/>
    <mergeCell ref="Z2:AA2"/>
    <mergeCell ref="Y3:AA3"/>
    <mergeCell ref="Y4:AA4"/>
    <mergeCell ref="Y5:AA5"/>
    <mergeCell ref="A6:A7"/>
    <mergeCell ref="B6:B7"/>
    <mergeCell ref="C6:AA6"/>
    <mergeCell ref="X49:Z49"/>
    <mergeCell ref="X50:Z50"/>
  </mergeCells>
  <printOptions/>
  <pageMargins left="0.39375" right="0.2361111111111111" top="0.2361111111111111" bottom="0.2361111111111111" header="0.5118055555555555" footer="0.5118055555555555"/>
  <pageSetup horizontalDpi="300" verticalDpi="300" orientation="landscape" paperSize="8" scale="50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A78"/>
  <sheetViews>
    <sheetView workbookViewId="0" topLeftCell="A1">
      <selection activeCell="E12" sqref="E12"/>
    </sheetView>
  </sheetViews>
  <sheetFormatPr defaultColWidth="12.57421875" defaultRowHeight="12.75"/>
  <cols>
    <col min="1" max="1" width="1.8515625" style="0" customWidth="1"/>
    <col min="2" max="2" width="50.7109375" style="0" customWidth="1"/>
    <col min="3" max="7" width="12.28125" style="0" customWidth="1"/>
    <col min="8" max="21" width="12.7109375" style="0" customWidth="1"/>
    <col min="22" max="24" width="13.7109375" style="0" customWidth="1"/>
    <col min="25" max="16384" width="11.57421875" style="0" customWidth="1"/>
  </cols>
  <sheetData>
    <row r="1" ht="16.5" customHeight="1">
      <c r="B1" s="287" t="s">
        <v>373</v>
      </c>
    </row>
    <row r="2" spans="2:6" ht="13.5" customHeight="1">
      <c r="B2" s="144" t="s">
        <v>374</v>
      </c>
      <c r="C2" s="288" t="s">
        <v>375</v>
      </c>
      <c r="D2" s="288"/>
      <c r="E2" s="289" t="s">
        <v>376</v>
      </c>
      <c r="F2" s="289"/>
    </row>
    <row r="3" spans="2:24" ht="18" customHeight="1">
      <c r="B3" s="290" t="s">
        <v>377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1"/>
    </row>
    <row r="4" ht="8.25" customHeight="1">
      <c r="C4" s="194"/>
    </row>
    <row r="5" spans="2:24" ht="60.75" customHeight="1">
      <c r="B5" s="292" t="s">
        <v>3</v>
      </c>
      <c r="C5" s="293" t="s">
        <v>378</v>
      </c>
      <c r="D5" s="294" t="s">
        <v>379</v>
      </c>
      <c r="E5" s="293" t="s">
        <v>380</v>
      </c>
      <c r="F5" s="293" t="s">
        <v>381</v>
      </c>
      <c r="G5" s="293" t="s">
        <v>382</v>
      </c>
      <c r="H5" s="293" t="s">
        <v>383</v>
      </c>
      <c r="I5" s="293" t="s">
        <v>384</v>
      </c>
      <c r="J5" s="293" t="s">
        <v>385</v>
      </c>
      <c r="K5" s="293" t="s">
        <v>386</v>
      </c>
      <c r="L5" s="293" t="s">
        <v>387</v>
      </c>
      <c r="M5" s="293" t="s">
        <v>388</v>
      </c>
      <c r="N5" s="293" t="s">
        <v>389</v>
      </c>
      <c r="O5" s="293" t="s">
        <v>390</v>
      </c>
      <c r="P5" s="293" t="s">
        <v>391</v>
      </c>
      <c r="Q5" s="293" t="s">
        <v>392</v>
      </c>
      <c r="R5" s="293" t="s">
        <v>393</v>
      </c>
      <c r="S5" s="293" t="s">
        <v>394</v>
      </c>
      <c r="T5" s="293" t="s">
        <v>395</v>
      </c>
      <c r="U5" s="293" t="s">
        <v>396</v>
      </c>
      <c r="V5" s="293" t="s">
        <v>397</v>
      </c>
      <c r="W5" s="293" t="s">
        <v>398</v>
      </c>
      <c r="X5" s="293" t="s">
        <v>399</v>
      </c>
    </row>
    <row r="6" spans="2:24" ht="30.75" customHeight="1">
      <c r="B6" s="295" t="s">
        <v>400</v>
      </c>
      <c r="C6" s="296">
        <f>C7+C8</f>
        <v>72674133.27</v>
      </c>
      <c r="D6" s="296">
        <f>D7+D8</f>
        <v>89920637.13</v>
      </c>
      <c r="E6" s="296">
        <f>E7+E8</f>
        <v>70107213.24003</v>
      </c>
      <c r="F6" s="296">
        <f>F7+F8</f>
        <v>67528175.64647093</v>
      </c>
      <c r="G6" s="296">
        <f>G7+G8</f>
        <v>69617908.40751153</v>
      </c>
      <c r="H6" s="296">
        <f>H7+H8</f>
        <v>71772313.66362439</v>
      </c>
      <c r="I6" s="296">
        <f>I7+I8</f>
        <v>73993392.98554115</v>
      </c>
      <c r="J6" s="296">
        <f>J7+J8</f>
        <v>76283209.89438766</v>
      </c>
      <c r="K6" s="296">
        <f>K7+K8</f>
        <v>78643891.77919726</v>
      </c>
      <c r="L6" s="296">
        <f>L7+L8</f>
        <v>81077631.87377845</v>
      </c>
      <c r="M6" s="296">
        <f>M7+M8</f>
        <v>83586691.29477446</v>
      </c>
      <c r="N6" s="296">
        <f>N7+N8</f>
        <v>86173401.14280859</v>
      </c>
      <c r="O6" s="296">
        <f>O7+O8</f>
        <v>88840164.66866866</v>
      </c>
      <c r="P6" s="296">
        <f>P7+P8</f>
        <v>91589459.50654338</v>
      </c>
      <c r="Q6" s="296">
        <f>Q7+Q8</f>
        <v>94423839.97638662</v>
      </c>
      <c r="R6" s="296">
        <f>R7+R8</f>
        <v>97345939.4575492</v>
      </c>
      <c r="S6" s="296">
        <f>S7+S8</f>
        <v>100358472.83588466</v>
      </c>
      <c r="T6" s="296">
        <f>T7+T8</f>
        <v>103464239.02660306</v>
      </c>
      <c r="U6" s="296">
        <f>U7+U8</f>
        <v>106666123.5752179</v>
      </c>
      <c r="V6" s="296">
        <f>V7+V8</f>
        <v>109967101.33900353</v>
      </c>
      <c r="W6" s="296">
        <f>W7+W8</f>
        <v>113370239.25145511</v>
      </c>
      <c r="X6" s="296">
        <f>X7+X8</f>
        <v>116878699.17232098</v>
      </c>
    </row>
    <row r="7" spans="2:24" ht="20.25" customHeight="1">
      <c r="B7" s="297" t="s">
        <v>401</v>
      </c>
      <c r="C7" s="298">
        <f>zał2!E9</f>
        <v>61924678.14</v>
      </c>
      <c r="D7" s="298">
        <f>zał2!F9</f>
        <v>60103326.13</v>
      </c>
      <c r="E7" s="298">
        <f>zał2!G9</f>
        <v>61966529.240030006</v>
      </c>
      <c r="F7" s="298">
        <f>zał2!H9</f>
        <v>63887491.646470934</v>
      </c>
      <c r="G7" s="298">
        <f>zał2!I9</f>
        <v>65868003.88751154</v>
      </c>
      <c r="H7" s="298">
        <f>zał2!J9</f>
        <v>67909912.0080244</v>
      </c>
      <c r="I7" s="298">
        <f>zał2!K9</f>
        <v>70015119.28027315</v>
      </c>
      <c r="J7" s="298">
        <f>zał2!L9</f>
        <v>72185587.97796163</v>
      </c>
      <c r="K7" s="298">
        <f>zał2!M9</f>
        <v>74423341.20527844</v>
      </c>
      <c r="L7" s="298">
        <f>zał2!N9</f>
        <v>76730464.78264207</v>
      </c>
      <c r="M7" s="298">
        <f>zał2!O9</f>
        <v>79109109.19090398</v>
      </c>
      <c r="N7" s="298">
        <f>zał2!P9</f>
        <v>81561491.575822</v>
      </c>
      <c r="O7" s="298">
        <f>zał2!Q9</f>
        <v>84089897.81467247</v>
      </c>
      <c r="P7" s="298">
        <f>zał2!R9</f>
        <v>86696684.64692731</v>
      </c>
      <c r="Q7" s="298">
        <f>zał2!S9</f>
        <v>89384281.87098207</v>
      </c>
      <c r="R7" s="298">
        <f>zał2!T9</f>
        <v>92155194.6089825</v>
      </c>
      <c r="S7" s="298">
        <f>zał2!U9</f>
        <v>95012005.64186096</v>
      </c>
      <c r="T7" s="298">
        <f>zał2!V9</f>
        <v>97957377.81675865</v>
      </c>
      <c r="U7" s="298">
        <f>zał2!W9</f>
        <v>100994056.52907817</v>
      </c>
      <c r="V7" s="298">
        <f>zał2!X9</f>
        <v>104124872.2814796</v>
      </c>
      <c r="W7" s="298">
        <f>zał2!Y9</f>
        <v>107352743.32220547</v>
      </c>
      <c r="X7" s="298">
        <f>zał2!Z9</f>
        <v>110680678.36519384</v>
      </c>
    </row>
    <row r="8" spans="2:27" ht="22.5" customHeight="1">
      <c r="B8" s="297" t="s">
        <v>402</v>
      </c>
      <c r="C8" s="298">
        <f>zał2!E10</f>
        <v>10749455.13</v>
      </c>
      <c r="D8" s="298">
        <f>zał2!F10</f>
        <v>29817311</v>
      </c>
      <c r="E8" s="298">
        <f>zał2!G10</f>
        <v>8140684</v>
      </c>
      <c r="F8" s="298">
        <f>zał2!H10</f>
        <v>3640684</v>
      </c>
      <c r="G8" s="298">
        <f>zał2!I10</f>
        <v>3749904.52</v>
      </c>
      <c r="H8" s="298">
        <f>zał2!J10</f>
        <v>3862401.6556</v>
      </c>
      <c r="I8" s="298">
        <f>zał2!K10</f>
        <v>3978273.7052680003</v>
      </c>
      <c r="J8" s="298">
        <f>zał2!L10</f>
        <v>4097621.91642604</v>
      </c>
      <c r="K8" s="298">
        <f>zał2!M10</f>
        <v>4220550.573918821</v>
      </c>
      <c r="L8" s="298">
        <f>zał2!N10</f>
        <v>4347167.091136386</v>
      </c>
      <c r="M8" s="298">
        <f>zał2!O10</f>
        <v>4477582.1038704775</v>
      </c>
      <c r="N8" s="298">
        <f>zał2!P10</f>
        <v>4611909.566986592</v>
      </c>
      <c r="O8" s="298">
        <f>zał2!Q10</f>
        <v>4750266.853996189</v>
      </c>
      <c r="P8" s="298">
        <f>zał2!R10</f>
        <v>4892774.859616075</v>
      </c>
      <c r="Q8" s="298">
        <f>zał2!S10</f>
        <v>5039558.105404557</v>
      </c>
      <c r="R8" s="298">
        <f>zał2!T10</f>
        <v>5190744.848566693</v>
      </c>
      <c r="S8" s="298">
        <f>zał2!U10</f>
        <v>5346467.194023694</v>
      </c>
      <c r="T8" s="298">
        <f>zał2!V10</f>
        <v>5506861.209844405</v>
      </c>
      <c r="U8" s="298">
        <f>zał2!W10</f>
        <v>5672067.046139737</v>
      </c>
      <c r="V8" s="298">
        <f>zał2!X10</f>
        <v>5842229.057523929</v>
      </c>
      <c r="W8" s="298">
        <f>zał2!Y10</f>
        <v>6017495.929249646</v>
      </c>
      <c r="X8" s="298">
        <f>zał2!Z10</f>
        <v>6198020.807127136</v>
      </c>
      <c r="Y8" s="229"/>
      <c r="Z8" s="229"/>
      <c r="AA8" s="229"/>
    </row>
    <row r="9" spans="2:24" ht="26.25" customHeight="1">
      <c r="B9" s="297" t="s">
        <v>403</v>
      </c>
      <c r="C9" s="298">
        <f>zał2!E11</f>
        <v>1643757.32</v>
      </c>
      <c r="D9" s="298">
        <f>zał2!F11</f>
        <v>5910000</v>
      </c>
      <c r="E9" s="298">
        <f>zał2!G11</f>
        <v>6000000</v>
      </c>
      <c r="F9" s="298">
        <f>zał2!H11</f>
        <v>1500000</v>
      </c>
      <c r="G9" s="298">
        <f>zał2!I11</f>
        <v>1545000</v>
      </c>
      <c r="H9" s="298">
        <f>zał2!J11</f>
        <v>1591350</v>
      </c>
      <c r="I9" s="298">
        <f>zał2!K11</f>
        <v>1639090.5</v>
      </c>
      <c r="J9" s="298">
        <f>zał2!L11</f>
        <v>1688263.215</v>
      </c>
      <c r="K9" s="298">
        <f>zał2!M11</f>
        <v>1738911.1114500002</v>
      </c>
      <c r="L9" s="298">
        <f>zał2!N11</f>
        <v>1791078.4447935002</v>
      </c>
      <c r="M9" s="298">
        <f>zał2!O11</f>
        <v>1844810.7981373053</v>
      </c>
      <c r="N9" s="298">
        <f>zał2!P11</f>
        <v>1900155.1220814246</v>
      </c>
      <c r="O9" s="298">
        <f>zał2!Q11</f>
        <v>1957159.7757438673</v>
      </c>
      <c r="P9" s="298">
        <f>zał2!R11</f>
        <v>2015874.5690161833</v>
      </c>
      <c r="Q9" s="298">
        <f>zał2!S11</f>
        <v>2076350.8060866687</v>
      </c>
      <c r="R9" s="298">
        <f>zał2!T11</f>
        <v>2138641.3302692687</v>
      </c>
      <c r="S9" s="298">
        <f>zał2!U11</f>
        <v>2202800.570177347</v>
      </c>
      <c r="T9" s="298">
        <f>zał2!V11</f>
        <v>2268884.5872826674</v>
      </c>
      <c r="U9" s="298">
        <f>zał2!W11</f>
        <v>2336951.1249011476</v>
      </c>
      <c r="V9" s="298">
        <f>zał2!X11</f>
        <v>2407059.658648182</v>
      </c>
      <c r="W9" s="298">
        <f>zał2!Y11</f>
        <v>2479271.4484076276</v>
      </c>
      <c r="X9" s="298">
        <f>zał2!Z11</f>
        <v>2553649.5918598566</v>
      </c>
    </row>
    <row r="10" spans="2:24" ht="25.5" customHeight="1">
      <c r="B10" s="295" t="s">
        <v>404</v>
      </c>
      <c r="C10" s="296" t="e">
        <f>C11+C13</f>
        <v>#REF!</v>
      </c>
      <c r="D10" s="296">
        <f>D11+D13</f>
        <v>91724402.13</v>
      </c>
      <c r="E10" s="296">
        <f>E11+E13</f>
        <v>55981527</v>
      </c>
      <c r="F10" s="296">
        <f>F11+F13</f>
        <v>55064299</v>
      </c>
      <c r="G10" s="296">
        <f>G11+G13</f>
        <v>56641227.97</v>
      </c>
      <c r="H10" s="296">
        <f>H11+H13</f>
        <v>58340464.8091</v>
      </c>
      <c r="I10" s="296">
        <f>I11+I13</f>
        <v>60090678.753373004</v>
      </c>
      <c r="J10" s="296">
        <f>J11+J13</f>
        <v>61893399.115974195</v>
      </c>
      <c r="K10" s="296">
        <f>K11+K13</f>
        <v>63750201.08945342</v>
      </c>
      <c r="L10" s="296">
        <f>L11+L13</f>
        <v>65662707.122137025</v>
      </c>
      <c r="M10" s="296">
        <f>M11+M13</f>
        <v>67632588.33580114</v>
      </c>
      <c r="N10" s="296">
        <f>N11+N13</f>
        <v>69661565.98587517</v>
      </c>
      <c r="O10" s="296">
        <f>O11+O13</f>
        <v>71751412.96545142</v>
      </c>
      <c r="P10" s="296">
        <f>P11+P13</f>
        <v>73903955.35441495</v>
      </c>
      <c r="Q10" s="296">
        <f>Q11+Q13</f>
        <v>76121074.01504742</v>
      </c>
      <c r="R10" s="296">
        <f>R11+R13</f>
        <v>78404706.23549883</v>
      </c>
      <c r="S10" s="296">
        <f>S11+S13</f>
        <v>80756847.42256379</v>
      </c>
      <c r="T10" s="296">
        <f>T11+T13</f>
        <v>83179552.84524071</v>
      </c>
      <c r="U10" s="296">
        <f>U11+U13</f>
        <v>85674939.43059793</v>
      </c>
      <c r="V10" s="296">
        <f>V11+V13</f>
        <v>88245187.61351587</v>
      </c>
      <c r="W10" s="296">
        <f>W11+W13</f>
        <v>90892543.24192135</v>
      </c>
      <c r="X10" s="296">
        <f>X11+X13</f>
        <v>93619319.53917898</v>
      </c>
    </row>
    <row r="11" spans="2:24" ht="21" customHeight="1">
      <c r="B11" s="297" t="s">
        <v>405</v>
      </c>
      <c r="C11" s="299">
        <f>zał2!E13</f>
        <v>54856635.79</v>
      </c>
      <c r="D11" s="299">
        <f>zał2!F13</f>
        <v>60420235.61</v>
      </c>
      <c r="E11" s="299">
        <f>zał2!G13</f>
        <v>51033300</v>
      </c>
      <c r="F11" s="299">
        <f>zał2!H13</f>
        <v>52564299</v>
      </c>
      <c r="G11" s="299">
        <f>zał2!I13</f>
        <v>54141227.97</v>
      </c>
      <c r="H11" s="299">
        <f>zał2!J13</f>
        <v>55765464.8091</v>
      </c>
      <c r="I11" s="299">
        <f>zał2!K13</f>
        <v>57438428.753373004</v>
      </c>
      <c r="J11" s="299">
        <f>zał2!L13</f>
        <v>59161581.615974195</v>
      </c>
      <c r="K11" s="299">
        <f>zał2!M13</f>
        <v>60936429.06445342</v>
      </c>
      <c r="L11" s="299">
        <f>zał2!N13</f>
        <v>62764521.936387025</v>
      </c>
      <c r="M11" s="299">
        <f>zał2!O13</f>
        <v>64647457.59447864</v>
      </c>
      <c r="N11" s="299">
        <f>zał2!P13</f>
        <v>66586881.322312996</v>
      </c>
      <c r="O11" s="299">
        <f>zał2!Q13</f>
        <v>68584487.76198238</v>
      </c>
      <c r="P11" s="299">
        <f>zał2!R13</f>
        <v>70642022.39484185</v>
      </c>
      <c r="Q11" s="299">
        <f>zał2!S13</f>
        <v>72761283.0666871</v>
      </c>
      <c r="R11" s="299">
        <f>zał2!T13</f>
        <v>74944121.55868772</v>
      </c>
      <c r="S11" s="299">
        <f>zał2!U13</f>
        <v>77192445.20544834</v>
      </c>
      <c r="T11" s="299">
        <f>zał2!V13</f>
        <v>79508218.5616118</v>
      </c>
      <c r="U11" s="299">
        <f>zał2!W13</f>
        <v>81893465.11846015</v>
      </c>
      <c r="V11" s="299">
        <f>zał2!X13</f>
        <v>84350269.07201396</v>
      </c>
      <c r="W11" s="299">
        <f>zał2!Y13</f>
        <v>86880777.14417438</v>
      </c>
      <c r="X11" s="299">
        <f>zał2!Z13</f>
        <v>89487200.45849961</v>
      </c>
    </row>
    <row r="12" spans="2:24" ht="21" customHeight="1">
      <c r="B12" s="297" t="s">
        <v>406</v>
      </c>
      <c r="C12" s="300" t="e">
        <f>C78</f>
        <v>#REF!</v>
      </c>
      <c r="D12" s="300">
        <f>D78</f>
        <v>2400000</v>
      </c>
      <c r="E12" s="300">
        <f>E78</f>
        <v>2146338.07593</v>
      </c>
      <c r="F12" s="300">
        <f>F78</f>
        <v>1795048.5018600002</v>
      </c>
      <c r="G12" s="300">
        <f>G78</f>
        <v>1587870.7677900002</v>
      </c>
      <c r="H12" s="300">
        <f>H78</f>
        <v>1380693.0337200004</v>
      </c>
      <c r="I12" s="300">
        <f>I78</f>
        <v>1173515.2996500004</v>
      </c>
      <c r="J12" s="300">
        <f>J78</f>
        <v>966337.5655800004</v>
      </c>
      <c r="K12" s="300">
        <f>K78</f>
        <v>759159.2915100005</v>
      </c>
      <c r="L12" s="300">
        <f>L78</f>
        <v>612878.2040400004</v>
      </c>
      <c r="M12" s="300">
        <f>M78</f>
        <v>559445.8403700005</v>
      </c>
      <c r="N12" s="300">
        <f>N78</f>
        <v>506013.47670000046</v>
      </c>
      <c r="O12" s="300">
        <f>O78</f>
        <v>452581.1130300004</v>
      </c>
      <c r="P12" s="300">
        <f>P78</f>
        <v>399148.7493600004</v>
      </c>
      <c r="Q12" s="300">
        <f>Q78</f>
        <v>345716.3856900004</v>
      </c>
      <c r="R12" s="300">
        <f>R78</f>
        <v>292284.0220200004</v>
      </c>
      <c r="S12" s="300">
        <f>S78</f>
        <v>238851.65835000036</v>
      </c>
      <c r="T12" s="300">
        <f>T78</f>
        <v>185419.29468000037</v>
      </c>
      <c r="U12" s="300">
        <f>U78</f>
        <v>131986.93101000038</v>
      </c>
      <c r="V12" s="300">
        <f>V78</f>
        <v>78554.56734000039</v>
      </c>
      <c r="W12" s="300">
        <f>W78</f>
        <v>25121.48367000038</v>
      </c>
      <c r="X12" s="300">
        <f>X78</f>
        <v>0</v>
      </c>
    </row>
    <row r="13" spans="2:24" ht="22.5" customHeight="1">
      <c r="B13" s="297" t="s">
        <v>407</v>
      </c>
      <c r="C13" s="18" t="e">
        <f>zał1!#REF!</f>
        <v>#REF!</v>
      </c>
      <c r="D13" s="299">
        <f>zał2!F14</f>
        <v>31304166.52</v>
      </c>
      <c r="E13" s="299">
        <f>zał2!G14</f>
        <v>4948227</v>
      </c>
      <c r="F13" s="299">
        <f>zał2!H14</f>
        <v>2500000</v>
      </c>
      <c r="G13" s="299">
        <f>zał2!I14</f>
        <v>2500000</v>
      </c>
      <c r="H13" s="299">
        <f>zał2!J14</f>
        <v>2575000</v>
      </c>
      <c r="I13" s="299">
        <f>zał2!K14</f>
        <v>2652250</v>
      </c>
      <c r="J13" s="299">
        <f>zał2!L14</f>
        <v>2731817.5</v>
      </c>
      <c r="K13" s="299">
        <f>zał2!M14</f>
        <v>2813772.025</v>
      </c>
      <c r="L13" s="299">
        <f>zał2!N14</f>
        <v>2898185.1857499997</v>
      </c>
      <c r="M13" s="299">
        <f>zał2!O14</f>
        <v>2985130.7413224997</v>
      </c>
      <c r="N13" s="299">
        <f>zał2!P14</f>
        <v>3074684.663562175</v>
      </c>
      <c r="O13" s="299">
        <f>zał2!Q14</f>
        <v>3166925.2034690403</v>
      </c>
      <c r="P13" s="299">
        <f>zał2!R14</f>
        <v>3261932.9595731115</v>
      </c>
      <c r="Q13" s="299">
        <f>zał2!S14</f>
        <v>3359790.948360305</v>
      </c>
      <c r="R13" s="299">
        <f>zał2!T14</f>
        <v>3460584.676811114</v>
      </c>
      <c r="S13" s="299">
        <f>zał2!U14</f>
        <v>3564402.2171154474</v>
      </c>
      <c r="T13" s="299">
        <f>zał2!V14</f>
        <v>3671334.283628911</v>
      </c>
      <c r="U13" s="299">
        <f>zał2!W14</f>
        <v>3781474.312137778</v>
      </c>
      <c r="V13" s="299">
        <f>zał2!X14</f>
        <v>3894918.5415019114</v>
      </c>
      <c r="W13" s="299">
        <f>zał2!Y14</f>
        <v>4011766.0977469687</v>
      </c>
      <c r="X13" s="299">
        <f>zał2!Z14</f>
        <v>4132119.080679378</v>
      </c>
    </row>
    <row r="14" spans="2:24" ht="25.5" customHeight="1">
      <c r="B14" s="295" t="s">
        <v>408</v>
      </c>
      <c r="C14" s="296" t="e">
        <f>C6-C10</f>
        <v>#REF!</v>
      </c>
      <c r="D14" s="296">
        <f>D6-D10</f>
        <v>-1803765</v>
      </c>
      <c r="E14" s="296">
        <f>E6-E10</f>
        <v>14125686.240030006</v>
      </c>
      <c r="F14" s="296">
        <f>F6-F10</f>
        <v>12463876.646470934</v>
      </c>
      <c r="G14" s="296">
        <f>G6-G10</f>
        <v>12976680.437511533</v>
      </c>
      <c r="H14" s="296">
        <f>H6-H10</f>
        <v>13431848.854524389</v>
      </c>
      <c r="I14" s="296">
        <f>I6-I10</f>
        <v>13902714.232168145</v>
      </c>
      <c r="J14" s="296">
        <f>J6-J10</f>
        <v>14389810.778413467</v>
      </c>
      <c r="K14" s="296">
        <f>K6-K10</f>
        <v>14893690.68974384</v>
      </c>
      <c r="L14" s="296">
        <f>L6-L10</f>
        <v>15414924.751641423</v>
      </c>
      <c r="M14" s="296">
        <f>M6-M10</f>
        <v>15954102.958973318</v>
      </c>
      <c r="N14" s="296">
        <f>N6-N10</f>
        <v>16511835.156933412</v>
      </c>
      <c r="O14" s="296">
        <f>O6-O10</f>
        <v>17088751.70321724</v>
      </c>
      <c r="P14" s="296">
        <f>P6-P10</f>
        <v>17685504.15212843</v>
      </c>
      <c r="Q14" s="296">
        <f>Q6-Q10</f>
        <v>18302765.961339206</v>
      </c>
      <c r="R14" s="296">
        <f>R6-R10</f>
        <v>18941233.22205037</v>
      </c>
      <c r="S14" s="296">
        <f>S6-S10</f>
        <v>19601625.41332087</v>
      </c>
      <c r="T14" s="296">
        <f>T6-T10</f>
        <v>20284686.181362346</v>
      </c>
      <c r="U14" s="296">
        <f>U6-U10</f>
        <v>20991184.14461997</v>
      </c>
      <c r="V14" s="296">
        <f>V6-V10</f>
        <v>21721913.725487664</v>
      </c>
      <c r="W14" s="296">
        <f>W6-W10</f>
        <v>22477696.009533763</v>
      </c>
      <c r="X14" s="296">
        <f>X6-X10</f>
        <v>23259379.633141994</v>
      </c>
    </row>
    <row r="15" spans="2:24" ht="25.5" customHeight="1">
      <c r="B15" s="295" t="s">
        <v>409</v>
      </c>
      <c r="C15" s="296">
        <f>SUM(C16,C20,C26,C30,C33)</f>
        <v>9049134</v>
      </c>
      <c r="D15" s="296">
        <f>SUM(D16,D20,D26,D30,D33)</f>
        <v>10673140.89</v>
      </c>
      <c r="E15" s="296">
        <f>SUM(E16,E20,E26,E30,E33)</f>
        <v>9001163.51043</v>
      </c>
      <c r="F15" s="296">
        <f>SUM(F16,F20,F26,F30,F33)</f>
        <v>7649874.73636</v>
      </c>
      <c r="G15" s="296">
        <f>SUM(G16,G20,G26,G30,G33)</f>
        <v>5040833.00229</v>
      </c>
      <c r="H15" s="296">
        <f>SUM(H16,H20,H26,H30,H33)</f>
        <v>4833655.26822</v>
      </c>
      <c r="I15" s="296">
        <f>SUM(I16,I20,I26,I30,I33)</f>
        <v>4626477.534150001</v>
      </c>
      <c r="J15" s="296">
        <f>SUM(J16,J20,J26,J30,J33)</f>
        <v>4419299.80008</v>
      </c>
      <c r="K15" s="296">
        <f>SUM(K16,K20,K26,K30,K33)</f>
        <v>4212130.52601</v>
      </c>
      <c r="L15" s="296">
        <f>SUM(L16,L20,L26,L30,L33)</f>
        <v>3050896.3285400006</v>
      </c>
      <c r="M15" s="296">
        <f>SUM(M16,M20,M26,M30,M33)</f>
        <v>1449985.2348700005</v>
      </c>
      <c r="N15" s="296">
        <f>SUM(N16,N20,N26,N30,N33)</f>
        <v>1396552.8712000004</v>
      </c>
      <c r="O15" s="296">
        <f>SUM(O16,O20,O26,O30,O33)</f>
        <v>1343120.5075300005</v>
      </c>
      <c r="P15" s="296">
        <f>SUM(P16,P20,P26,P30,P33)</f>
        <v>1289688.1438600004</v>
      </c>
      <c r="Q15" s="296">
        <f>SUM(Q16,Q20,Q26,Q30,Q33)</f>
        <v>1236255.7801900003</v>
      </c>
      <c r="R15" s="296">
        <f>SUM(R16,R20,R26,R30,R33)</f>
        <v>1182823.4165200004</v>
      </c>
      <c r="S15" s="296">
        <f>SUM(S16,S20,S26,S30,S33)</f>
        <v>1129391.0528500006</v>
      </c>
      <c r="T15" s="296">
        <f>SUM(T16,T20,T26,T30,T33)</f>
        <v>1075958.6891800005</v>
      </c>
      <c r="U15" s="296">
        <f>SUM(U16,U20,U26,U30,U33)</f>
        <v>1022526.3255100005</v>
      </c>
      <c r="V15" s="296">
        <f>SUM(V16,V20,V26,V30,V33)</f>
        <v>969093.9618400005</v>
      </c>
      <c r="W15" s="296">
        <f>SUM(W16,W20,W26,W30,W33)</f>
        <v>915672.8781700004</v>
      </c>
      <c r="X15" s="296">
        <f>SUM(X16,X20,X26,X30,X33)</f>
        <v>418691.39450000005</v>
      </c>
    </row>
    <row r="16" spans="2:24" ht="24.75" customHeight="1">
      <c r="B16" s="295" t="s">
        <v>410</v>
      </c>
      <c r="C16" s="296">
        <f>C17+C19</f>
        <v>8267803.585</v>
      </c>
      <c r="D16" s="296">
        <f>D17+D19</f>
        <v>8943805.830500001</v>
      </c>
      <c r="E16" s="296">
        <f>E17+E19</f>
        <v>6826992.2785</v>
      </c>
      <c r="F16" s="296">
        <f>F17+F19</f>
        <v>6555186.3365</v>
      </c>
      <c r="G16" s="296">
        <f>G17+G19</f>
        <v>4001608.7945</v>
      </c>
      <c r="H16" s="296">
        <f>H17+H19</f>
        <v>3849895.2525</v>
      </c>
      <c r="I16" s="296">
        <f>I17+I19</f>
        <v>3698181.7105</v>
      </c>
      <c r="J16" s="296">
        <f>J17+J19</f>
        <v>3546468.1685</v>
      </c>
      <c r="K16" s="296">
        <f>K17+K19</f>
        <v>3394763.1765</v>
      </c>
      <c r="L16" s="296">
        <f>L17+L19</f>
        <v>2019326.73</v>
      </c>
      <c r="M16" s="296">
        <f>M17+M19</f>
        <v>471848</v>
      </c>
      <c r="N16" s="296">
        <f>N17+N19</f>
        <v>471848</v>
      </c>
      <c r="O16" s="296">
        <f>O17+O19</f>
        <v>471848</v>
      </c>
      <c r="P16" s="296">
        <f>P17+P19</f>
        <v>471848</v>
      </c>
      <c r="Q16" s="296">
        <f>Q17+Q19</f>
        <v>471848</v>
      </c>
      <c r="R16" s="296">
        <f>R17+R19</f>
        <v>471848</v>
      </c>
      <c r="S16" s="296">
        <f>S17+S19</f>
        <v>471848</v>
      </c>
      <c r="T16" s="296">
        <f>T17+T19</f>
        <v>471848</v>
      </c>
      <c r="U16" s="296">
        <f>U17+U19</f>
        <v>471848</v>
      </c>
      <c r="V16" s="296">
        <f>V17+V19</f>
        <v>471848</v>
      </c>
      <c r="W16" s="296">
        <f>W17+W19</f>
        <v>471860</v>
      </c>
      <c r="X16" s="296">
        <f>X17+X19</f>
        <v>0</v>
      </c>
    </row>
    <row r="17" spans="2:24" ht="23.25" customHeight="1">
      <c r="B17" s="297" t="s">
        <v>411</v>
      </c>
      <c r="C17" s="298">
        <f>C59</f>
        <v>6701134</v>
      </c>
      <c r="D17" s="298">
        <f>D59</f>
        <v>7281140.890000001</v>
      </c>
      <c r="E17" s="298">
        <f>E59</f>
        <v>5436134.04</v>
      </c>
      <c r="F17" s="298">
        <f>F59</f>
        <v>5436134.84</v>
      </c>
      <c r="G17" s="298">
        <f>G59</f>
        <v>3034270.84</v>
      </c>
      <c r="H17" s="298">
        <f>H59</f>
        <v>3034270.84</v>
      </c>
      <c r="I17" s="298">
        <f>I59</f>
        <v>3034270.84</v>
      </c>
      <c r="J17" s="298">
        <f>J59</f>
        <v>3034270.84</v>
      </c>
      <c r="K17" s="298">
        <f>K59</f>
        <v>3034279.84</v>
      </c>
      <c r="L17" s="298">
        <f>L59</f>
        <v>2019326.73</v>
      </c>
      <c r="M17" s="298">
        <f>M59</f>
        <v>471848</v>
      </c>
      <c r="N17" s="298">
        <f>N59</f>
        <v>471848</v>
      </c>
      <c r="O17" s="298">
        <f>O59</f>
        <v>471848</v>
      </c>
      <c r="P17" s="298">
        <f>P59</f>
        <v>471848</v>
      </c>
      <c r="Q17" s="298">
        <f>Q59</f>
        <v>471848</v>
      </c>
      <c r="R17" s="298">
        <f>R59</f>
        <v>471848</v>
      </c>
      <c r="S17" s="298">
        <f>S59</f>
        <v>471848</v>
      </c>
      <c r="T17" s="298">
        <f>T59</f>
        <v>471848</v>
      </c>
      <c r="U17" s="298">
        <f>U59</f>
        <v>471848</v>
      </c>
      <c r="V17" s="298">
        <f>V59</f>
        <v>471848</v>
      </c>
      <c r="W17" s="298">
        <f>W59</f>
        <v>471860</v>
      </c>
      <c r="X17" s="298">
        <f>X59</f>
        <v>0</v>
      </c>
    </row>
    <row r="18" spans="2:24" ht="26.25" customHeight="1">
      <c r="B18" s="297" t="s">
        <v>412</v>
      </c>
      <c r="C18" s="298">
        <f>C60</f>
        <v>1974529.9</v>
      </c>
      <c r="D18" s="298">
        <f>D60</f>
        <v>1245956.9</v>
      </c>
      <c r="E18" s="298">
        <f>E60</f>
        <v>1083800.9</v>
      </c>
      <c r="F18" s="298">
        <f>F60</f>
        <v>1083800.9</v>
      </c>
      <c r="G18" s="298">
        <f>G60</f>
        <v>860083.9</v>
      </c>
      <c r="H18" s="298">
        <f>H60</f>
        <v>860083.9</v>
      </c>
      <c r="I18" s="298">
        <f>I60</f>
        <v>860083.9</v>
      </c>
      <c r="J18" s="298">
        <f>J60</f>
        <v>860083.9</v>
      </c>
      <c r="K18" s="298">
        <f>K60</f>
        <v>860086.9</v>
      </c>
      <c r="L18" s="298">
        <f>L60</f>
        <v>388668.9</v>
      </c>
      <c r="M18" s="298">
        <f>M60</f>
        <v>75188</v>
      </c>
      <c r="N18" s="298">
        <f>N60</f>
        <v>75188</v>
      </c>
      <c r="O18" s="298">
        <f>O60</f>
        <v>75188</v>
      </c>
      <c r="P18" s="298">
        <f>P60</f>
        <v>75188</v>
      </c>
      <c r="Q18" s="298">
        <f>Q60</f>
        <v>75188</v>
      </c>
      <c r="R18" s="298">
        <f>R60</f>
        <v>75188</v>
      </c>
      <c r="S18" s="298">
        <f>S60</f>
        <v>75188</v>
      </c>
      <c r="T18" s="298">
        <f>T60</f>
        <v>75188</v>
      </c>
      <c r="U18" s="298">
        <f>U60</f>
        <v>75188</v>
      </c>
      <c r="V18" s="298">
        <f>V60</f>
        <v>75188</v>
      </c>
      <c r="W18" s="298">
        <f>W60</f>
        <v>75234</v>
      </c>
      <c r="X18" s="298">
        <f>X60</f>
        <v>0</v>
      </c>
    </row>
    <row r="19" spans="2:24" ht="24" customHeight="1">
      <c r="B19" s="297" t="s">
        <v>413</v>
      </c>
      <c r="C19" s="298">
        <f>C61</f>
        <v>1566669.5850000002</v>
      </c>
      <c r="D19" s="298">
        <f>D61</f>
        <v>1662664.9405000003</v>
      </c>
      <c r="E19" s="298">
        <f>E61</f>
        <v>1390858.2385000002</v>
      </c>
      <c r="F19" s="298">
        <f>F61</f>
        <v>1119051.4965000001</v>
      </c>
      <c r="G19" s="298">
        <f>G61</f>
        <v>967337.9545000002</v>
      </c>
      <c r="H19" s="298">
        <f>H61</f>
        <v>815624.4125000002</v>
      </c>
      <c r="I19" s="298">
        <f>I61</f>
        <v>663910.8705000002</v>
      </c>
      <c r="J19" s="298">
        <f>J61</f>
        <v>512197.32850000024</v>
      </c>
      <c r="K19" s="298">
        <f>K61</f>
        <v>360483.3365000002</v>
      </c>
      <c r="L19" s="298">
        <f>L61</f>
        <v>0</v>
      </c>
      <c r="M19" s="301">
        <v>0</v>
      </c>
      <c r="N19" s="301">
        <v>0</v>
      </c>
      <c r="O19" s="301">
        <v>0</v>
      </c>
      <c r="P19" s="301">
        <v>0</v>
      </c>
      <c r="Q19" s="301">
        <v>0</v>
      </c>
      <c r="R19" s="301">
        <v>0</v>
      </c>
      <c r="S19" s="301">
        <v>0</v>
      </c>
      <c r="T19" s="301">
        <v>0</v>
      </c>
      <c r="U19" s="301">
        <v>0</v>
      </c>
      <c r="V19" s="301">
        <v>0</v>
      </c>
      <c r="W19" s="301">
        <v>0</v>
      </c>
      <c r="X19" s="301">
        <v>0</v>
      </c>
    </row>
    <row r="20" spans="2:24" ht="24.75" customHeight="1">
      <c r="B20" s="295" t="s">
        <v>414</v>
      </c>
      <c r="C20" s="296">
        <f>C21+C23+C25</f>
        <v>433330.4149999998</v>
      </c>
      <c r="D20" s="296">
        <f>D21+D23+D25</f>
        <v>537335.0594999997</v>
      </c>
      <c r="E20" s="296">
        <f>E21+E23+E25</f>
        <v>1174171.2319299998</v>
      </c>
      <c r="F20" s="296">
        <f>F21+F23+F25</f>
        <v>1094688.3998600002</v>
      </c>
      <c r="G20" s="296">
        <f>G21+G23+G25</f>
        <v>1039224.20779</v>
      </c>
      <c r="H20" s="296">
        <f>H21+H23+H25</f>
        <v>983760.0157200003</v>
      </c>
      <c r="I20" s="296">
        <f>I21+I23+I25</f>
        <v>928295.8236500003</v>
      </c>
      <c r="J20" s="296">
        <f>J21+J23+J25</f>
        <v>872831.6315800003</v>
      </c>
      <c r="K20" s="296">
        <f>K21+K23+K25</f>
        <v>817367.3495100003</v>
      </c>
      <c r="L20" s="296">
        <f>L21+L23+L25</f>
        <v>1031569.5985400005</v>
      </c>
      <c r="M20" s="296">
        <f>M21+M23+M25</f>
        <v>978137.2348700005</v>
      </c>
      <c r="N20" s="296">
        <f>N21+N23+N25</f>
        <v>924704.8712000005</v>
      </c>
      <c r="O20" s="296">
        <f>O21+O23+O25</f>
        <v>871272.5075300005</v>
      </c>
      <c r="P20" s="296">
        <f>P21+P23+P25</f>
        <v>817840.1438600004</v>
      </c>
      <c r="Q20" s="296">
        <f>Q21+Q23+Q25</f>
        <v>764407.7801900004</v>
      </c>
      <c r="R20" s="296">
        <f>R21+R23+R25</f>
        <v>710975.4165200004</v>
      </c>
      <c r="S20" s="296">
        <f>S21+S23+S25</f>
        <v>657543.0528500004</v>
      </c>
      <c r="T20" s="296">
        <f>T21+T23+T25</f>
        <v>604110.6891800005</v>
      </c>
      <c r="U20" s="296">
        <f>U21+U23+U25</f>
        <v>550678.3255100005</v>
      </c>
      <c r="V20" s="296">
        <f>V21+V23+V25</f>
        <v>497245.96184000047</v>
      </c>
      <c r="W20" s="296">
        <f>W21+W23+W25</f>
        <v>443812.87817000045</v>
      </c>
      <c r="X20" s="296">
        <f>X21+X23+X25</f>
        <v>418691.39450000005</v>
      </c>
    </row>
    <row r="21" spans="2:24" ht="22.5" customHeight="1">
      <c r="B21" s="297" t="s">
        <v>415</v>
      </c>
      <c r="C21" s="302">
        <v>0</v>
      </c>
      <c r="D21" s="302">
        <f>D63</f>
        <v>0</v>
      </c>
      <c r="E21" s="303">
        <f>E63</f>
        <v>418691.39450000005</v>
      </c>
      <c r="F21" s="303">
        <f>F63</f>
        <v>418691.39450000005</v>
      </c>
      <c r="G21" s="303">
        <f>G63</f>
        <v>418691.39450000005</v>
      </c>
      <c r="H21" s="303">
        <f>H63</f>
        <v>418691.39450000005</v>
      </c>
      <c r="I21" s="303">
        <f>I63</f>
        <v>418691.39450000005</v>
      </c>
      <c r="J21" s="303">
        <f>J63</f>
        <v>418691.39450000005</v>
      </c>
      <c r="K21" s="303">
        <f>K63</f>
        <v>418691.39450000005</v>
      </c>
      <c r="L21" s="303">
        <f>L63</f>
        <v>418691.39450000005</v>
      </c>
      <c r="M21" s="303">
        <f>M63</f>
        <v>418691.39450000005</v>
      </c>
      <c r="N21" s="303">
        <f>N63</f>
        <v>418691.39450000005</v>
      </c>
      <c r="O21" s="303">
        <f>O63</f>
        <v>418691.39450000005</v>
      </c>
      <c r="P21" s="303">
        <f>P63</f>
        <v>418691.39450000005</v>
      </c>
      <c r="Q21" s="303">
        <f>Q63</f>
        <v>418691.39450000005</v>
      </c>
      <c r="R21" s="303">
        <f>R63</f>
        <v>418691.39450000005</v>
      </c>
      <c r="S21" s="303">
        <f>S63</f>
        <v>418691.39450000005</v>
      </c>
      <c r="T21" s="303">
        <f>T63</f>
        <v>418691.39450000005</v>
      </c>
      <c r="U21" s="303">
        <f>U63</f>
        <v>418691.39450000005</v>
      </c>
      <c r="V21" s="303">
        <f>V63</f>
        <v>418691.39450000005</v>
      </c>
      <c r="W21" s="303">
        <f>W63</f>
        <v>418691.39450000005</v>
      </c>
      <c r="X21" s="303">
        <f>X63</f>
        <v>418691.39450000005</v>
      </c>
    </row>
    <row r="22" spans="2:24" ht="33.75" customHeight="1">
      <c r="B22" s="297" t="s">
        <v>416</v>
      </c>
      <c r="C22" s="302">
        <v>0</v>
      </c>
      <c r="D22" s="302">
        <f>D64</f>
        <v>0</v>
      </c>
      <c r="E22" s="302">
        <f>E64</f>
        <v>131634.35</v>
      </c>
      <c r="F22" s="302">
        <f>F64</f>
        <v>131634.35</v>
      </c>
      <c r="G22" s="302">
        <f>G64</f>
        <v>131634.35</v>
      </c>
      <c r="H22" s="302">
        <f>H64</f>
        <v>131634.35</v>
      </c>
      <c r="I22" s="302">
        <f>I64</f>
        <v>131634.35</v>
      </c>
      <c r="J22" s="302">
        <f>J64</f>
        <v>131634.35</v>
      </c>
      <c r="K22" s="302">
        <f>K64</f>
        <v>131634.35</v>
      </c>
      <c r="L22" s="302">
        <f>L64</f>
        <v>131634.35</v>
      </c>
      <c r="M22" s="302">
        <f>M64</f>
        <v>131634.35</v>
      </c>
      <c r="N22" s="302">
        <f>N64</f>
        <v>131634.35</v>
      </c>
      <c r="O22" s="302">
        <f>O64</f>
        <v>131634.35</v>
      </c>
      <c r="P22" s="302">
        <f>P64</f>
        <v>131634.35</v>
      </c>
      <c r="Q22" s="302">
        <f>Q64</f>
        <v>131634.35</v>
      </c>
      <c r="R22" s="302">
        <f>R64</f>
        <v>131634.35</v>
      </c>
      <c r="S22" s="302">
        <f>S64</f>
        <v>131634.35</v>
      </c>
      <c r="T22" s="302">
        <f>T64</f>
        <v>131634.35</v>
      </c>
      <c r="U22" s="302">
        <f>U64</f>
        <v>131634.35</v>
      </c>
      <c r="V22" s="302">
        <f>V64</f>
        <v>131634.35</v>
      </c>
      <c r="W22" s="302">
        <f>W64</f>
        <v>131634.35</v>
      </c>
      <c r="X22" s="302">
        <f>X64</f>
        <v>131634.35</v>
      </c>
    </row>
    <row r="23" spans="2:24" ht="21" customHeight="1">
      <c r="B23" s="297" t="s">
        <v>417</v>
      </c>
      <c r="C23" s="301">
        <v>0</v>
      </c>
      <c r="D23" s="301">
        <v>0</v>
      </c>
      <c r="E23" s="301">
        <v>0</v>
      </c>
      <c r="F23" s="301">
        <v>0</v>
      </c>
      <c r="G23" s="301">
        <v>0</v>
      </c>
      <c r="H23" s="301">
        <v>0</v>
      </c>
      <c r="I23" s="301">
        <v>0</v>
      </c>
      <c r="J23" s="301">
        <v>0</v>
      </c>
      <c r="K23" s="301">
        <v>0</v>
      </c>
      <c r="L23" s="301">
        <v>0</v>
      </c>
      <c r="M23" s="301">
        <v>0</v>
      </c>
      <c r="N23" s="301">
        <v>0</v>
      </c>
      <c r="O23" s="301">
        <v>0</v>
      </c>
      <c r="P23" s="301">
        <v>0</v>
      </c>
      <c r="Q23" s="301">
        <v>0</v>
      </c>
      <c r="R23" s="301">
        <v>0</v>
      </c>
      <c r="S23" s="301">
        <v>0</v>
      </c>
      <c r="T23" s="301">
        <v>0</v>
      </c>
      <c r="U23" s="301">
        <v>0</v>
      </c>
      <c r="V23" s="301">
        <v>0</v>
      </c>
      <c r="W23" s="301">
        <v>0</v>
      </c>
      <c r="X23" s="301">
        <v>0</v>
      </c>
    </row>
    <row r="24" spans="2:24" ht="39.75" customHeight="1">
      <c r="B24" s="297" t="s">
        <v>418</v>
      </c>
      <c r="C24" s="301">
        <v>0</v>
      </c>
      <c r="D24" s="301">
        <v>0</v>
      </c>
      <c r="E24" s="301">
        <v>0</v>
      </c>
      <c r="F24" s="301">
        <v>0</v>
      </c>
      <c r="G24" s="301">
        <v>0</v>
      </c>
      <c r="H24" s="301">
        <v>0</v>
      </c>
      <c r="I24" s="301">
        <v>0</v>
      </c>
      <c r="J24" s="301">
        <v>0</v>
      </c>
      <c r="K24" s="301">
        <v>0</v>
      </c>
      <c r="L24" s="301">
        <v>0</v>
      </c>
      <c r="M24" s="301">
        <v>0</v>
      </c>
      <c r="N24" s="301">
        <v>0</v>
      </c>
      <c r="O24" s="301">
        <v>0</v>
      </c>
      <c r="P24" s="301">
        <v>0</v>
      </c>
      <c r="Q24" s="301">
        <v>0</v>
      </c>
      <c r="R24" s="301">
        <v>0</v>
      </c>
      <c r="S24" s="301">
        <v>0</v>
      </c>
      <c r="T24" s="301">
        <v>0</v>
      </c>
      <c r="U24" s="301">
        <v>0</v>
      </c>
      <c r="V24" s="301">
        <v>0</v>
      </c>
      <c r="W24" s="301">
        <v>0</v>
      </c>
      <c r="X24" s="301">
        <v>0</v>
      </c>
    </row>
    <row r="25" spans="2:24" ht="20.25" customHeight="1">
      <c r="B25" s="297" t="s">
        <v>419</v>
      </c>
      <c r="C25" s="302">
        <f>C65</f>
        <v>433330.4149999998</v>
      </c>
      <c r="D25" s="302">
        <f>D65</f>
        <v>537335.0594999997</v>
      </c>
      <c r="E25" s="302">
        <f>E65</f>
        <v>755479.8374299996</v>
      </c>
      <c r="F25" s="302">
        <f>F65</f>
        <v>675997.0053600001</v>
      </c>
      <c r="G25" s="302">
        <f>G65</f>
        <v>620532.81329</v>
      </c>
      <c r="H25" s="302">
        <f>H65</f>
        <v>565068.6212200002</v>
      </c>
      <c r="I25" s="302">
        <f>I65</f>
        <v>509604.4291500002</v>
      </c>
      <c r="J25" s="302">
        <f>J65</f>
        <v>454140.23708000017</v>
      </c>
      <c r="K25" s="302">
        <f>K65</f>
        <v>398675.95501000027</v>
      </c>
      <c r="L25" s="302">
        <f>L65</f>
        <v>612878.2040400004</v>
      </c>
      <c r="M25" s="302">
        <f>M65</f>
        <v>559445.8403700005</v>
      </c>
      <c r="N25" s="302">
        <f>N65</f>
        <v>506013.47670000046</v>
      </c>
      <c r="O25" s="302">
        <f>O65</f>
        <v>452581.1130300004</v>
      </c>
      <c r="P25" s="302">
        <f>P65</f>
        <v>399148.7493600004</v>
      </c>
      <c r="Q25" s="302">
        <f>Q65</f>
        <v>345716.3856900004</v>
      </c>
      <c r="R25" s="302">
        <f>R65</f>
        <v>292284.0220200004</v>
      </c>
      <c r="S25" s="302">
        <f>S65</f>
        <v>238851.65835000036</v>
      </c>
      <c r="T25" s="302">
        <f>T65</f>
        <v>185419.29468000037</v>
      </c>
      <c r="U25" s="302">
        <f>U65</f>
        <v>131986.93101000038</v>
      </c>
      <c r="V25" s="302">
        <f>V65</f>
        <v>78554.56734000039</v>
      </c>
      <c r="W25" s="302">
        <f>W65</f>
        <v>25121.48367000038</v>
      </c>
      <c r="X25" s="302">
        <f>X65</f>
        <v>0</v>
      </c>
    </row>
    <row r="26" spans="2:24" ht="28.5" customHeight="1">
      <c r="B26" s="295" t="s">
        <v>420</v>
      </c>
      <c r="C26" s="296">
        <f>C27+C28+C29</f>
        <v>0</v>
      </c>
      <c r="D26" s="296">
        <f>D27+D28+D29</f>
        <v>0</v>
      </c>
      <c r="E26" s="296">
        <f>E27+E28+E29</f>
        <v>0</v>
      </c>
      <c r="F26" s="296">
        <f>F27+F29</f>
        <v>0</v>
      </c>
      <c r="G26" s="296">
        <f>G27+G29</f>
        <v>0</v>
      </c>
      <c r="H26" s="296">
        <f>H27+H29</f>
        <v>0</v>
      </c>
      <c r="I26" s="296">
        <f>I27+I29</f>
        <v>0</v>
      </c>
      <c r="J26" s="296">
        <f>J27+J29</f>
        <v>0</v>
      </c>
      <c r="K26" s="296">
        <f>K27+K29</f>
        <v>0</v>
      </c>
      <c r="L26" s="296">
        <f>L27+L29</f>
        <v>0</v>
      </c>
      <c r="M26" s="296">
        <f>M27+M29</f>
        <v>0</v>
      </c>
      <c r="N26" s="296">
        <f>N27+N29</f>
        <v>0</v>
      </c>
      <c r="O26" s="296">
        <f>O27+O29</f>
        <v>0</v>
      </c>
      <c r="P26" s="296">
        <f>P27+P29</f>
        <v>0</v>
      </c>
      <c r="Q26" s="296">
        <f>Q27+Q29</f>
        <v>0</v>
      </c>
      <c r="R26" s="296">
        <f>R27+R29</f>
        <v>0</v>
      </c>
      <c r="S26" s="296">
        <f>S27+S29</f>
        <v>0</v>
      </c>
      <c r="T26" s="296">
        <f>T27+T29</f>
        <v>0</v>
      </c>
      <c r="U26" s="296">
        <f>U27+U29</f>
        <v>0</v>
      </c>
      <c r="V26" s="296">
        <f>V27+V29</f>
        <v>0</v>
      </c>
      <c r="W26" s="296">
        <f>W27+W29</f>
        <v>0</v>
      </c>
      <c r="X26" s="296">
        <f>X27+X29</f>
        <v>0</v>
      </c>
    </row>
    <row r="27" spans="2:24" ht="20.25" customHeight="1">
      <c r="B27" s="297" t="s">
        <v>421</v>
      </c>
      <c r="C27" s="302">
        <v>0</v>
      </c>
      <c r="D27" s="302">
        <v>0</v>
      </c>
      <c r="E27" s="302">
        <f>E68</f>
        <v>0</v>
      </c>
      <c r="F27" s="302">
        <f>F68</f>
        <v>0</v>
      </c>
      <c r="G27" s="302">
        <f>G68</f>
        <v>0</v>
      </c>
      <c r="H27" s="302">
        <f>H68</f>
        <v>0</v>
      </c>
      <c r="I27" s="302">
        <f>I68</f>
        <v>0</v>
      </c>
      <c r="J27" s="302">
        <f>J68</f>
        <v>0</v>
      </c>
      <c r="K27" s="302">
        <f>K68</f>
        <v>0</v>
      </c>
      <c r="L27" s="302">
        <f>L68</f>
        <v>0</v>
      </c>
      <c r="M27" s="302">
        <f>M68</f>
        <v>0</v>
      </c>
      <c r="N27" s="302">
        <f>N68</f>
        <v>0</v>
      </c>
      <c r="O27" s="302">
        <f>O68</f>
        <v>0</v>
      </c>
      <c r="P27" s="302">
        <f>P68</f>
        <v>0</v>
      </c>
      <c r="Q27" s="302">
        <f>Q68</f>
        <v>0</v>
      </c>
      <c r="R27" s="302">
        <f>R68</f>
        <v>0</v>
      </c>
      <c r="S27" s="302">
        <f>S68</f>
        <v>0</v>
      </c>
      <c r="T27" s="302">
        <f>T68</f>
        <v>0</v>
      </c>
      <c r="U27" s="302">
        <f>U68</f>
        <v>0</v>
      </c>
      <c r="V27" s="302">
        <f>V68</f>
        <v>0</v>
      </c>
      <c r="W27" s="302">
        <f>W68</f>
        <v>0</v>
      </c>
      <c r="X27" s="302">
        <f>X68</f>
        <v>0</v>
      </c>
    </row>
    <row r="28" spans="2:24" ht="30.75" customHeight="1">
      <c r="B28" s="297" t="s">
        <v>422</v>
      </c>
      <c r="C28" s="302">
        <v>0</v>
      </c>
      <c r="D28" s="302">
        <v>0</v>
      </c>
      <c r="E28" s="302">
        <f>E69</f>
        <v>0</v>
      </c>
      <c r="F28" s="302">
        <f>F69</f>
        <v>0</v>
      </c>
      <c r="G28" s="302">
        <f>G69</f>
        <v>0</v>
      </c>
      <c r="H28" s="302">
        <f>H69</f>
        <v>0</v>
      </c>
      <c r="I28" s="302">
        <f>I69</f>
        <v>0</v>
      </c>
      <c r="J28" s="302">
        <f>J69</f>
        <v>0</v>
      </c>
      <c r="K28" s="302">
        <f>K69</f>
        <v>0</v>
      </c>
      <c r="L28" s="302">
        <f>L69</f>
        <v>0</v>
      </c>
      <c r="M28" s="302">
        <f>M69</f>
        <v>0</v>
      </c>
      <c r="N28" s="302">
        <f>N69</f>
        <v>0</v>
      </c>
      <c r="O28" s="302">
        <f>O69</f>
        <v>0</v>
      </c>
      <c r="P28" s="302">
        <f>P69</f>
        <v>0</v>
      </c>
      <c r="Q28" s="302">
        <f>Q69</f>
        <v>0</v>
      </c>
      <c r="R28" s="302">
        <f>R69</f>
        <v>0</v>
      </c>
      <c r="S28" s="302">
        <f>S69</f>
        <v>0</v>
      </c>
      <c r="T28" s="302">
        <f>T69</f>
        <v>0</v>
      </c>
      <c r="U28" s="302">
        <f>U69</f>
        <v>0</v>
      </c>
      <c r="V28" s="302">
        <f>V69</f>
        <v>0</v>
      </c>
      <c r="W28" s="302">
        <f>W69</f>
        <v>0</v>
      </c>
      <c r="X28" s="302">
        <f>X69</f>
        <v>0</v>
      </c>
    </row>
    <row r="29" spans="2:24" ht="20.25" customHeight="1">
      <c r="B29" s="297" t="s">
        <v>423</v>
      </c>
      <c r="C29" s="302">
        <v>0</v>
      </c>
      <c r="D29" s="302">
        <f>D70</f>
        <v>0</v>
      </c>
      <c r="E29" s="302">
        <f>E70</f>
        <v>0</v>
      </c>
      <c r="F29" s="302">
        <f>F70</f>
        <v>0</v>
      </c>
      <c r="G29" s="302">
        <f>G70</f>
        <v>0</v>
      </c>
      <c r="H29" s="302">
        <f>H70</f>
        <v>0</v>
      </c>
      <c r="I29" s="302">
        <f>I70</f>
        <v>0</v>
      </c>
      <c r="J29" s="302">
        <f>J70</f>
        <v>0</v>
      </c>
      <c r="K29" s="302">
        <f>K70</f>
        <v>0</v>
      </c>
      <c r="L29" s="302">
        <f>L70</f>
        <v>0</v>
      </c>
      <c r="M29" s="302">
        <f>M70</f>
        <v>0</v>
      </c>
      <c r="N29" s="302">
        <f>N70</f>
        <v>0</v>
      </c>
      <c r="O29" s="302">
        <f>O70</f>
        <v>0</v>
      </c>
      <c r="P29" s="302">
        <f>P70</f>
        <v>0</v>
      </c>
      <c r="Q29" s="302">
        <f>Q70</f>
        <v>0</v>
      </c>
      <c r="R29" s="302">
        <f>R70</f>
        <v>0</v>
      </c>
      <c r="S29" s="302">
        <f>S70</f>
        <v>0</v>
      </c>
      <c r="T29" s="302">
        <f>T70</f>
        <v>0</v>
      </c>
      <c r="U29" s="302">
        <f>U70</f>
        <v>0</v>
      </c>
      <c r="V29" s="302">
        <f>V70</f>
        <v>0</v>
      </c>
      <c r="W29" s="302">
        <f>W70</f>
        <v>0</v>
      </c>
      <c r="X29" s="302">
        <f>X70</f>
        <v>0</v>
      </c>
    </row>
    <row r="30" spans="2:24" ht="24" customHeight="1">
      <c r="B30" s="295" t="s">
        <v>424</v>
      </c>
      <c r="C30" s="296">
        <f>C31+C32</f>
        <v>0</v>
      </c>
      <c r="D30" s="296">
        <f>D31+D32</f>
        <v>0</v>
      </c>
      <c r="E30" s="296">
        <f>E31+E32</f>
        <v>0</v>
      </c>
      <c r="F30" s="296">
        <f>F31+F32</f>
        <v>0</v>
      </c>
      <c r="G30" s="296">
        <f>G31+G32</f>
        <v>0</v>
      </c>
      <c r="H30" s="296">
        <f>H31+H32</f>
        <v>0</v>
      </c>
      <c r="I30" s="296">
        <f>I31+I32</f>
        <v>0</v>
      </c>
      <c r="J30" s="296">
        <f>J31+J32</f>
        <v>0</v>
      </c>
      <c r="K30" s="296">
        <f>K31+K32</f>
        <v>0</v>
      </c>
      <c r="L30" s="296">
        <f>L31+L32</f>
        <v>0</v>
      </c>
      <c r="M30" s="296">
        <f>M31+M32</f>
        <v>0</v>
      </c>
      <c r="N30" s="296">
        <f>N31+N32</f>
        <v>0</v>
      </c>
      <c r="O30" s="296">
        <f>O31+O32</f>
        <v>0</v>
      </c>
      <c r="P30" s="296">
        <f>P31+P32</f>
        <v>0</v>
      </c>
      <c r="Q30" s="296">
        <f>Q31+Q32</f>
        <v>0</v>
      </c>
      <c r="R30" s="296">
        <f>R31+R32</f>
        <v>0</v>
      </c>
      <c r="S30" s="296">
        <f>S31+S32</f>
        <v>0</v>
      </c>
      <c r="T30" s="296">
        <f>T31+T32</f>
        <v>0</v>
      </c>
      <c r="U30" s="296">
        <f>U31+U32</f>
        <v>0</v>
      </c>
      <c r="V30" s="296">
        <f>V31+V32</f>
        <v>0</v>
      </c>
      <c r="W30" s="296">
        <f>W31+W32</f>
        <v>0</v>
      </c>
      <c r="X30" s="296">
        <f>X31+X32</f>
        <v>0</v>
      </c>
    </row>
    <row r="31" spans="2:24" ht="39.75" customHeight="1">
      <c r="B31" s="297" t="s">
        <v>425</v>
      </c>
      <c r="C31" s="301">
        <v>0</v>
      </c>
      <c r="D31" s="301">
        <v>0</v>
      </c>
      <c r="E31" s="301">
        <v>0</v>
      </c>
      <c r="F31" s="301">
        <v>0</v>
      </c>
      <c r="G31" s="301">
        <v>0</v>
      </c>
      <c r="H31" s="301">
        <v>0</v>
      </c>
      <c r="I31" s="301">
        <v>0</v>
      </c>
      <c r="J31" s="301">
        <v>0</v>
      </c>
      <c r="K31" s="301">
        <v>0</v>
      </c>
      <c r="L31" s="301">
        <v>0</v>
      </c>
      <c r="M31" s="301">
        <v>0</v>
      </c>
      <c r="N31" s="301">
        <v>0</v>
      </c>
      <c r="O31" s="301">
        <v>0</v>
      </c>
      <c r="P31" s="301">
        <v>0</v>
      </c>
      <c r="Q31" s="301">
        <v>0</v>
      </c>
      <c r="R31" s="301">
        <v>0</v>
      </c>
      <c r="S31" s="301">
        <v>0</v>
      </c>
      <c r="T31" s="301">
        <v>0</v>
      </c>
      <c r="U31" s="301">
        <v>0</v>
      </c>
      <c r="V31" s="301">
        <v>0</v>
      </c>
      <c r="W31" s="301">
        <v>0</v>
      </c>
      <c r="X31" s="301">
        <v>0</v>
      </c>
    </row>
    <row r="32" spans="2:24" ht="24" customHeight="1">
      <c r="B32" s="297" t="s">
        <v>426</v>
      </c>
      <c r="C32" s="301">
        <v>0</v>
      </c>
      <c r="D32" s="301">
        <v>0</v>
      </c>
      <c r="E32" s="301">
        <v>0</v>
      </c>
      <c r="F32" s="301">
        <v>0</v>
      </c>
      <c r="G32" s="301">
        <v>0</v>
      </c>
      <c r="H32" s="301">
        <v>0</v>
      </c>
      <c r="I32" s="301">
        <v>0</v>
      </c>
      <c r="J32" s="301">
        <v>0</v>
      </c>
      <c r="K32" s="301">
        <v>0</v>
      </c>
      <c r="L32" s="301">
        <v>0</v>
      </c>
      <c r="M32" s="301">
        <v>0</v>
      </c>
      <c r="N32" s="301">
        <v>0</v>
      </c>
      <c r="O32" s="301">
        <v>0</v>
      </c>
      <c r="P32" s="301">
        <v>0</v>
      </c>
      <c r="Q32" s="301">
        <v>0</v>
      </c>
      <c r="R32" s="301">
        <v>0</v>
      </c>
      <c r="S32" s="301">
        <v>0</v>
      </c>
      <c r="T32" s="301">
        <v>0</v>
      </c>
      <c r="U32" s="301">
        <v>0</v>
      </c>
      <c r="V32" s="301">
        <v>0</v>
      </c>
      <c r="W32" s="301">
        <v>0</v>
      </c>
      <c r="X32" s="301">
        <v>0</v>
      </c>
    </row>
    <row r="33" spans="2:24" ht="27" customHeight="1">
      <c r="B33" s="295" t="s">
        <v>427</v>
      </c>
      <c r="C33" s="269">
        <f>zał2!E36</f>
        <v>348000</v>
      </c>
      <c r="D33" s="269">
        <f>zał2!F36</f>
        <v>1192000</v>
      </c>
      <c r="E33" s="269">
        <f>zał2!G36</f>
        <v>1000000</v>
      </c>
      <c r="F33" s="269">
        <f>zał2!H36</f>
        <v>0</v>
      </c>
      <c r="G33" s="269">
        <f>zał2!I36</f>
        <v>0</v>
      </c>
      <c r="H33" s="269">
        <f>zał2!J36</f>
        <v>0</v>
      </c>
      <c r="I33" s="269">
        <f>zał2!K36</f>
        <v>0</v>
      </c>
      <c r="J33" s="269">
        <f>zał2!L36</f>
        <v>0</v>
      </c>
      <c r="K33" s="269">
        <f>zał2!M36</f>
        <v>0</v>
      </c>
      <c r="L33" s="269">
        <f>zał2!N36</f>
        <v>0</v>
      </c>
      <c r="M33" s="269">
        <f>zał2!O36</f>
        <v>0</v>
      </c>
      <c r="N33" s="269">
        <f>zał2!P36</f>
        <v>0</v>
      </c>
      <c r="O33" s="269">
        <f>zał2!Q36</f>
        <v>0</v>
      </c>
      <c r="P33" s="269">
        <f>zał2!R36</f>
        <v>0</v>
      </c>
      <c r="Q33" s="269">
        <f>zał2!S36</f>
        <v>0</v>
      </c>
      <c r="R33" s="269">
        <f>zał2!T36</f>
        <v>0</v>
      </c>
      <c r="S33" s="269">
        <f>zał2!U36</f>
        <v>0</v>
      </c>
      <c r="T33" s="269">
        <f>zał2!V36</f>
        <v>0</v>
      </c>
      <c r="U33" s="269">
        <f>zał2!W36</f>
        <v>0</v>
      </c>
      <c r="V33" s="269">
        <f>zał2!X36</f>
        <v>0</v>
      </c>
      <c r="W33" s="269">
        <f>zał2!Y36</f>
        <v>0</v>
      </c>
      <c r="X33" s="269">
        <f>zał2!Z36</f>
        <v>0</v>
      </c>
    </row>
    <row r="34" spans="2:24" ht="29.25" customHeight="1">
      <c r="B34" s="295" t="s">
        <v>428</v>
      </c>
      <c r="C34" s="304">
        <f>C73</f>
        <v>40534439.7</v>
      </c>
      <c r="D34" s="304">
        <f>D73</f>
        <v>41627126.7</v>
      </c>
      <c r="E34" s="304">
        <f>E73</f>
        <v>35772301.2655</v>
      </c>
      <c r="F34" s="304">
        <f>F73</f>
        <v>29917475.031000003</v>
      </c>
      <c r="G34" s="304">
        <f>G73</f>
        <v>26464512.796500005</v>
      </c>
      <c r="H34" s="304">
        <f>H73</f>
        <v>23011550.562000003</v>
      </c>
      <c r="I34" s="304">
        <f>I73</f>
        <v>19558588.3275</v>
      </c>
      <c r="J34" s="304">
        <f>J73</f>
        <v>16105626.093000002</v>
      </c>
      <c r="K34" s="304">
        <f>K73</f>
        <v>12652654.858500002</v>
      </c>
      <c r="L34" s="304">
        <f>L73</f>
        <v>10214636.734000001</v>
      </c>
      <c r="M34" s="304">
        <f>M73</f>
        <v>9324097.3395</v>
      </c>
      <c r="N34" s="304">
        <f>N73</f>
        <v>8433557.945</v>
      </c>
      <c r="O34" s="304">
        <f>O73</f>
        <v>7543018.550500001</v>
      </c>
      <c r="P34" s="304">
        <f>P73</f>
        <v>6652479.156000001</v>
      </c>
      <c r="Q34" s="304">
        <f>Q73</f>
        <v>5761939.761500001</v>
      </c>
      <c r="R34" s="304">
        <f>R73</f>
        <v>4871400.367000001</v>
      </c>
      <c r="S34" s="304">
        <f>S73</f>
        <v>3980860.972500001</v>
      </c>
      <c r="T34" s="304">
        <f>T73</f>
        <v>3090321.578000001</v>
      </c>
      <c r="U34" s="304">
        <f>U73</f>
        <v>2199782.183500001</v>
      </c>
      <c r="V34" s="304">
        <f>V73</f>
        <v>1309242.7890000013</v>
      </c>
      <c r="W34" s="304">
        <f>W73</f>
        <v>418691.3945000011</v>
      </c>
      <c r="X34" s="304">
        <f>X73</f>
        <v>0</v>
      </c>
    </row>
    <row r="35" spans="2:24" ht="24.75" customHeight="1">
      <c r="B35" s="297" t="s">
        <v>429</v>
      </c>
      <c r="C35" s="18">
        <f>zał2!E49</f>
        <v>40534439.7</v>
      </c>
      <c r="D35" s="305">
        <f>D73</f>
        <v>41627126.7</v>
      </c>
      <c r="E35" s="305">
        <f>E73</f>
        <v>35772301.2655</v>
      </c>
      <c r="F35" s="305">
        <f>F73</f>
        <v>29917475.031000003</v>
      </c>
      <c r="G35" s="305">
        <f>G73</f>
        <v>26464512.796500005</v>
      </c>
      <c r="H35" s="305">
        <f>H73</f>
        <v>23011550.562000003</v>
      </c>
      <c r="I35" s="305">
        <f>I73</f>
        <v>19558588.3275</v>
      </c>
      <c r="J35" s="305">
        <f>J73</f>
        <v>16105626.093000002</v>
      </c>
      <c r="K35" s="305">
        <f>K73</f>
        <v>12652654.858500002</v>
      </c>
      <c r="L35" s="305">
        <f>L73</f>
        <v>10214636.734000001</v>
      </c>
      <c r="M35" s="305">
        <f>M73</f>
        <v>9324097.3395</v>
      </c>
      <c r="N35" s="305">
        <f>N73</f>
        <v>8433557.945</v>
      </c>
      <c r="O35" s="305">
        <f>O73</f>
        <v>7543018.550500001</v>
      </c>
      <c r="P35" s="305">
        <f>P73</f>
        <v>6652479.156000001</v>
      </c>
      <c r="Q35" s="305">
        <f>Q73</f>
        <v>5761939.761500001</v>
      </c>
      <c r="R35" s="305">
        <f>R73</f>
        <v>4871400.367000001</v>
      </c>
      <c r="S35" s="305">
        <f>S73</f>
        <v>3980860.972500001</v>
      </c>
      <c r="T35" s="305">
        <f>T73</f>
        <v>3090321.578000001</v>
      </c>
      <c r="U35" s="305">
        <f>U73</f>
        <v>2199782.183500001</v>
      </c>
      <c r="V35" s="305">
        <f>V73</f>
        <v>1309242.7890000013</v>
      </c>
      <c r="W35" s="305">
        <f>W73</f>
        <v>418691.3945000011</v>
      </c>
      <c r="X35" s="305">
        <f>X73</f>
        <v>0</v>
      </c>
    </row>
    <row r="36" spans="2:24" ht="25.5" customHeight="1">
      <c r="B36" s="297" t="s">
        <v>430</v>
      </c>
      <c r="C36" s="18">
        <f>zał2!E50</f>
        <v>8929764.1</v>
      </c>
      <c r="D36" s="305">
        <f>D74</f>
        <v>10316494.2</v>
      </c>
      <c r="E36" s="305">
        <f>E74</f>
        <v>9101058.95</v>
      </c>
      <c r="F36" s="305">
        <f>F74</f>
        <v>7885623.699999999</v>
      </c>
      <c r="G36" s="305">
        <f>G74</f>
        <v>6893905.449999999</v>
      </c>
      <c r="H36" s="305">
        <f>H74</f>
        <v>5902187.199999999</v>
      </c>
      <c r="I36" s="305">
        <f>I74</f>
        <v>4910468.949999999</v>
      </c>
      <c r="J36" s="305">
        <f>J74</f>
        <v>3918750.6999999993</v>
      </c>
      <c r="K36" s="305">
        <f>K74</f>
        <v>2927029.4499999993</v>
      </c>
      <c r="L36" s="305">
        <f>L74</f>
        <v>2406726.1999999993</v>
      </c>
      <c r="M36" s="305">
        <f>M74</f>
        <v>2199903.849999999</v>
      </c>
      <c r="N36" s="305">
        <f>N74</f>
        <v>1993081.499999999</v>
      </c>
      <c r="O36" s="305">
        <f>O74</f>
        <v>1786259.149999999</v>
      </c>
      <c r="P36" s="305">
        <f>P74</f>
        <v>1579436.7999999989</v>
      </c>
      <c r="Q36" s="305">
        <f>Q74</f>
        <v>1372614.4499999988</v>
      </c>
      <c r="R36" s="305">
        <f>R74</f>
        <v>1165792.0999999987</v>
      </c>
      <c r="S36" s="305">
        <f>S74</f>
        <v>958969.7499999987</v>
      </c>
      <c r="T36" s="305">
        <f>T74</f>
        <v>752147.3999999987</v>
      </c>
      <c r="U36" s="305">
        <f>U74</f>
        <v>545325.0499999988</v>
      </c>
      <c r="V36" s="305">
        <f>V74</f>
        <v>338502.6999999988</v>
      </c>
      <c r="W36" s="305">
        <f>W74</f>
        <v>131634.34999999878</v>
      </c>
      <c r="X36" s="305">
        <f>X74</f>
        <v>-1.2223608791828156E-09</v>
      </c>
    </row>
    <row r="37" spans="2:24" ht="23.25" customHeight="1">
      <c r="B37" s="297" t="s">
        <v>431</v>
      </c>
      <c r="C37" s="301">
        <v>0</v>
      </c>
      <c r="D37" s="301">
        <v>0</v>
      </c>
      <c r="E37" s="301">
        <v>0</v>
      </c>
      <c r="F37" s="301">
        <v>0</v>
      </c>
      <c r="G37" s="301">
        <v>0</v>
      </c>
      <c r="H37" s="301">
        <v>0</v>
      </c>
      <c r="I37" s="301">
        <v>0</v>
      </c>
      <c r="J37" s="301">
        <v>0</v>
      </c>
      <c r="K37" s="301">
        <v>0</v>
      </c>
      <c r="L37" s="301">
        <v>0</v>
      </c>
      <c r="M37" s="301">
        <v>0</v>
      </c>
      <c r="N37" s="301">
        <v>0</v>
      </c>
      <c r="O37" s="301">
        <v>0</v>
      </c>
      <c r="P37" s="301">
        <v>0</v>
      </c>
      <c r="Q37" s="301">
        <v>0</v>
      </c>
      <c r="R37" s="301">
        <v>0</v>
      </c>
      <c r="S37" s="301">
        <v>0</v>
      </c>
      <c r="T37" s="301">
        <v>0</v>
      </c>
      <c r="U37" s="301">
        <v>0</v>
      </c>
      <c r="V37" s="301">
        <v>0</v>
      </c>
      <c r="W37" s="301">
        <v>0</v>
      </c>
      <c r="X37" s="301">
        <v>0</v>
      </c>
    </row>
    <row r="38" spans="2:24" ht="26.25" customHeight="1">
      <c r="B38" s="297" t="s">
        <v>432</v>
      </c>
      <c r="C38" s="301">
        <v>0</v>
      </c>
      <c r="D38" s="301">
        <v>0</v>
      </c>
      <c r="E38" s="301">
        <v>0</v>
      </c>
      <c r="F38" s="301">
        <v>0</v>
      </c>
      <c r="G38" s="301">
        <v>0</v>
      </c>
      <c r="H38" s="301">
        <v>0</v>
      </c>
      <c r="I38" s="301">
        <v>0</v>
      </c>
      <c r="J38" s="301">
        <v>0</v>
      </c>
      <c r="K38" s="301">
        <v>0</v>
      </c>
      <c r="L38" s="301">
        <v>0</v>
      </c>
      <c r="M38" s="301">
        <v>0</v>
      </c>
      <c r="N38" s="301">
        <v>0</v>
      </c>
      <c r="O38" s="301">
        <v>0</v>
      </c>
      <c r="P38" s="301">
        <v>0</v>
      </c>
      <c r="Q38" s="301">
        <v>0</v>
      </c>
      <c r="R38" s="301">
        <v>0</v>
      </c>
      <c r="S38" s="301">
        <v>0</v>
      </c>
      <c r="T38" s="301">
        <v>0</v>
      </c>
      <c r="U38" s="301">
        <v>0</v>
      </c>
      <c r="V38" s="301">
        <v>0</v>
      </c>
      <c r="W38" s="301">
        <v>0</v>
      </c>
      <c r="X38" s="301">
        <v>0</v>
      </c>
    </row>
    <row r="39" spans="2:24" ht="18.75" customHeight="1">
      <c r="B39" s="297" t="s">
        <v>433</v>
      </c>
      <c r="C39" s="301">
        <v>0</v>
      </c>
      <c r="D39" s="301">
        <v>0</v>
      </c>
      <c r="E39" s="301">
        <v>0</v>
      </c>
      <c r="F39" s="301">
        <v>0</v>
      </c>
      <c r="G39" s="301">
        <v>0</v>
      </c>
      <c r="H39" s="301">
        <v>0</v>
      </c>
      <c r="I39" s="301">
        <v>0</v>
      </c>
      <c r="J39" s="301">
        <v>0</v>
      </c>
      <c r="K39" s="301">
        <v>0</v>
      </c>
      <c r="L39" s="301">
        <v>0</v>
      </c>
      <c r="M39" s="301">
        <v>0</v>
      </c>
      <c r="N39" s="301">
        <v>0</v>
      </c>
      <c r="O39" s="301">
        <v>0</v>
      </c>
      <c r="P39" s="301">
        <v>0</v>
      </c>
      <c r="Q39" s="301">
        <v>0</v>
      </c>
      <c r="R39" s="301">
        <v>0</v>
      </c>
      <c r="S39" s="301">
        <v>0</v>
      </c>
      <c r="T39" s="301">
        <v>0</v>
      </c>
      <c r="U39" s="301">
        <v>0</v>
      </c>
      <c r="V39" s="301">
        <v>0</v>
      </c>
      <c r="W39" s="301">
        <v>0</v>
      </c>
      <c r="X39" s="301">
        <v>0</v>
      </c>
    </row>
    <row r="40" spans="2:24" ht="27" customHeight="1">
      <c r="B40" s="297" t="s">
        <v>434</v>
      </c>
      <c r="C40" s="301">
        <v>0</v>
      </c>
      <c r="D40" s="301">
        <v>0</v>
      </c>
      <c r="E40" s="301">
        <v>0</v>
      </c>
      <c r="F40" s="301">
        <v>0</v>
      </c>
      <c r="G40" s="301">
        <v>0</v>
      </c>
      <c r="H40" s="301">
        <v>0</v>
      </c>
      <c r="I40" s="301">
        <v>0</v>
      </c>
      <c r="J40" s="301">
        <v>0</v>
      </c>
      <c r="K40" s="301">
        <v>0</v>
      </c>
      <c r="L40" s="301">
        <v>0</v>
      </c>
      <c r="M40" s="301">
        <v>0</v>
      </c>
      <c r="N40" s="301">
        <v>0</v>
      </c>
      <c r="O40" s="301">
        <v>0</v>
      </c>
      <c r="P40" s="301">
        <v>0</v>
      </c>
      <c r="Q40" s="301">
        <v>0</v>
      </c>
      <c r="R40" s="301">
        <v>0</v>
      </c>
      <c r="S40" s="301">
        <v>0</v>
      </c>
      <c r="T40" s="301">
        <v>0</v>
      </c>
      <c r="U40" s="301">
        <v>0</v>
      </c>
      <c r="V40" s="301">
        <v>0</v>
      </c>
      <c r="W40" s="301">
        <v>0</v>
      </c>
      <c r="X40" s="301">
        <v>0</v>
      </c>
    </row>
    <row r="41" spans="2:24" ht="42" customHeight="1">
      <c r="B41" s="295" t="s">
        <v>435</v>
      </c>
      <c r="C41" s="306" t="s">
        <v>14</v>
      </c>
      <c r="D41" s="306" t="s">
        <v>14</v>
      </c>
      <c r="E41" s="306" t="s">
        <v>14</v>
      </c>
      <c r="F41" s="307">
        <v>0</v>
      </c>
      <c r="G41" s="307">
        <v>0</v>
      </c>
      <c r="H41" s="307">
        <v>0</v>
      </c>
      <c r="I41" s="307">
        <v>0</v>
      </c>
      <c r="J41" s="307">
        <v>0</v>
      </c>
      <c r="K41" s="307">
        <v>0</v>
      </c>
      <c r="L41" s="307">
        <v>0</v>
      </c>
      <c r="M41" s="307">
        <v>0</v>
      </c>
      <c r="N41" s="307">
        <v>0</v>
      </c>
      <c r="O41" s="307">
        <v>0</v>
      </c>
      <c r="P41" s="307">
        <v>0</v>
      </c>
      <c r="Q41" s="307">
        <v>0</v>
      </c>
      <c r="R41" s="307">
        <v>0</v>
      </c>
      <c r="S41" s="307">
        <v>0</v>
      </c>
      <c r="T41" s="307">
        <v>0</v>
      </c>
      <c r="U41" s="307">
        <v>0</v>
      </c>
      <c r="V41" s="307">
        <v>0</v>
      </c>
      <c r="W41" s="307">
        <v>0</v>
      </c>
      <c r="X41" s="307">
        <v>0</v>
      </c>
    </row>
    <row r="42" spans="2:24" ht="27" customHeight="1">
      <c r="B42" s="295" t="s">
        <v>436</v>
      </c>
      <c r="C42" s="306">
        <f>SUM(C34/$C6)</f>
        <v>0.5577560801365992</v>
      </c>
      <c r="D42" s="306">
        <f>SUM(D34/$D6)</f>
        <v>0.46293184777837887</v>
      </c>
      <c r="E42" s="306">
        <f>SUM(E34/$E6)</f>
        <v>0.510251365191544</v>
      </c>
      <c r="F42" s="306" t="s">
        <v>14</v>
      </c>
      <c r="G42" s="306" t="s">
        <v>14</v>
      </c>
      <c r="H42" s="306" t="s">
        <v>14</v>
      </c>
      <c r="I42" s="306" t="s">
        <v>14</v>
      </c>
      <c r="J42" s="306" t="s">
        <v>14</v>
      </c>
      <c r="K42" s="306" t="s">
        <v>14</v>
      </c>
      <c r="L42" s="306" t="s">
        <v>14</v>
      </c>
      <c r="M42" s="306" t="s">
        <v>14</v>
      </c>
      <c r="N42" s="306" t="s">
        <v>14</v>
      </c>
      <c r="O42" s="306" t="s">
        <v>14</v>
      </c>
      <c r="P42" s="306" t="s">
        <v>14</v>
      </c>
      <c r="Q42" s="306" t="s">
        <v>14</v>
      </c>
      <c r="R42" s="306" t="s">
        <v>14</v>
      </c>
      <c r="S42" s="306" t="s">
        <v>14</v>
      </c>
      <c r="T42" s="306" t="s">
        <v>14</v>
      </c>
      <c r="U42" s="306" t="s">
        <v>14</v>
      </c>
      <c r="V42" s="306" t="s">
        <v>14</v>
      </c>
      <c r="W42" s="306" t="s">
        <v>14</v>
      </c>
      <c r="X42" s="306" t="s">
        <v>14</v>
      </c>
    </row>
    <row r="43" spans="2:24" ht="28.5" customHeight="1">
      <c r="B43" s="295" t="s">
        <v>437</v>
      </c>
      <c r="C43" s="306">
        <f>SUM((C34-C36)/C$6)</f>
        <v>0.4348820436919674</v>
      </c>
      <c r="D43" s="306">
        <f>SUM((D34-D36)/D$6)</f>
        <v>0.3482029654075251</v>
      </c>
      <c r="E43" s="306">
        <f>SUM((E34-E36)/E$6)</f>
        <v>0.38043506627747664</v>
      </c>
      <c r="F43" s="306" t="s">
        <v>14</v>
      </c>
      <c r="G43" s="306" t="s">
        <v>14</v>
      </c>
      <c r="H43" s="306" t="s">
        <v>14</v>
      </c>
      <c r="I43" s="306" t="s">
        <v>14</v>
      </c>
      <c r="J43" s="306" t="s">
        <v>14</v>
      </c>
      <c r="K43" s="306" t="s">
        <v>14</v>
      </c>
      <c r="L43" s="306" t="s">
        <v>14</v>
      </c>
      <c r="M43" s="306" t="s">
        <v>14</v>
      </c>
      <c r="N43" s="306" t="s">
        <v>14</v>
      </c>
      <c r="O43" s="306" t="s">
        <v>14</v>
      </c>
      <c r="P43" s="306" t="s">
        <v>14</v>
      </c>
      <c r="Q43" s="306" t="s">
        <v>14</v>
      </c>
      <c r="R43" s="306" t="s">
        <v>14</v>
      </c>
      <c r="S43" s="306" t="s">
        <v>14</v>
      </c>
      <c r="T43" s="306" t="s">
        <v>14</v>
      </c>
      <c r="U43" s="306" t="s">
        <v>14</v>
      </c>
      <c r="V43" s="306" t="s">
        <v>14</v>
      </c>
      <c r="W43" s="306" t="s">
        <v>14</v>
      </c>
      <c r="X43" s="306" t="s">
        <v>14</v>
      </c>
    </row>
    <row r="44" spans="2:24" ht="41.25" customHeight="1">
      <c r="B44" s="295" t="s">
        <v>438</v>
      </c>
      <c r="C44" s="306">
        <f>SUM(C15/C6)</f>
        <v>0.12451657271756549</v>
      </c>
      <c r="D44" s="306">
        <f>SUM(D15/D6)</f>
        <v>0.1186951208382747</v>
      </c>
      <c r="E44" s="306">
        <f>SUM(E15/E6)</f>
        <v>0.12839140360082793</v>
      </c>
      <c r="F44" s="306" t="s">
        <v>14</v>
      </c>
      <c r="G44" s="306" t="s">
        <v>14</v>
      </c>
      <c r="H44" s="306" t="s">
        <v>14</v>
      </c>
      <c r="I44" s="306" t="s">
        <v>14</v>
      </c>
      <c r="J44" s="306" t="s">
        <v>14</v>
      </c>
      <c r="K44" s="306" t="s">
        <v>14</v>
      </c>
      <c r="L44" s="306" t="s">
        <v>14</v>
      </c>
      <c r="M44" s="306" t="s">
        <v>14</v>
      </c>
      <c r="N44" s="306" t="s">
        <v>14</v>
      </c>
      <c r="O44" s="306" t="s">
        <v>14</v>
      </c>
      <c r="P44" s="306" t="s">
        <v>14</v>
      </c>
      <c r="Q44" s="306" t="s">
        <v>14</v>
      </c>
      <c r="R44" s="306" t="s">
        <v>14</v>
      </c>
      <c r="S44" s="306" t="s">
        <v>14</v>
      </c>
      <c r="T44" s="306" t="s">
        <v>14</v>
      </c>
      <c r="U44" s="306" t="s">
        <v>14</v>
      </c>
      <c r="V44" s="306" t="s">
        <v>14</v>
      </c>
      <c r="W44" s="306" t="s">
        <v>14</v>
      </c>
      <c r="X44" s="306" t="s">
        <v>14</v>
      </c>
    </row>
    <row r="45" spans="2:24" ht="51" customHeight="1">
      <c r="B45" s="295" t="s">
        <v>439</v>
      </c>
      <c r="C45" s="306">
        <v>0.08276115841166476</v>
      </c>
      <c r="D45" s="306">
        <v>0.1051869566527987</v>
      </c>
      <c r="E45" s="306">
        <f>SUM((E15-E18-E22)/E6)</f>
        <v>0.11105459624780072</v>
      </c>
      <c r="F45" s="306">
        <f>SUM((F15-F18-F22-F28)/F6)</f>
        <v>0.09528525574341158</v>
      </c>
      <c r="G45" s="306">
        <f>SUM((G15-G18-G22)/G6)</f>
        <v>0.058161970747358946</v>
      </c>
      <c r="H45" s="306">
        <f>SUM((H15-H18-H22)/H6)</f>
        <v>0.05352951329151827</v>
      </c>
      <c r="I45" s="306">
        <f>SUM((I15-I18-I22)/I6)</f>
        <v>0.049122754579726584</v>
      </c>
      <c r="J45" s="306">
        <f>SUM((J15-J18-J22)/J6)</f>
        <v>0.04493231937703471</v>
      </c>
      <c r="K45" s="306">
        <f>SUM((K15-K18-K22)/K6)</f>
        <v>0.040949261324092524</v>
      </c>
      <c r="L45" s="306">
        <f>SUM((L15-L18-L22)/L6)</f>
        <v>0.031211975733080422</v>
      </c>
      <c r="M45" s="306">
        <f>SUM((M15-M18-M22)/M6)</f>
        <v>0.014872737102200844</v>
      </c>
      <c r="N45" s="306">
        <f>SUM((N15-N18-N22)/N6)</f>
        <v>0.013806238414894997</v>
      </c>
      <c r="O45" s="306">
        <f>SUM((O15-O18-O22)/O6)</f>
        <v>0.012790365278676028</v>
      </c>
      <c r="P45" s="306">
        <f>SUM((P15-P18-P22)/P6)</f>
        <v>0.011823039459935208</v>
      </c>
      <c r="Q45" s="306">
        <f>SUM((Q15-Q18-Q22)/Q6)</f>
        <v>0.010902261869962496</v>
      </c>
      <c r="R45" s="306">
        <f>SUM((R15-R18-R22)/R6)</f>
        <v>0.010026109686327665</v>
      </c>
      <c r="S45" s="306">
        <f>SUM((S15-S18-S22)/S6)</f>
        <v>0.009192733575755674</v>
      </c>
      <c r="T45" s="306">
        <f>SUM((T15-T18-T22)/T6)</f>
        <v>0.008400355014997262</v>
      </c>
      <c r="U45" s="306">
        <f>SUM((U15-U18-U22)/U6)</f>
        <v>0.007647263706314304</v>
      </c>
      <c r="V45" s="306">
        <f>SUM((V15-V18-V22)/V6)</f>
        <v>0.006931815084314087</v>
      </c>
      <c r="W45" s="306">
        <f>SUM((W15-W18-W22)/W6)</f>
        <v>0.006252121657764807</v>
      </c>
      <c r="X45" s="306">
        <f>SUM((X15-X18-X22)/X6)</f>
        <v>0.002456025319692987</v>
      </c>
    </row>
    <row r="46" spans="2:24" ht="40.5" customHeight="1">
      <c r="B46" s="295" t="s">
        <v>440</v>
      </c>
      <c r="C46" s="308">
        <v>0.0845167385672977</v>
      </c>
      <c r="D46" s="308">
        <v>0.07029718109259919</v>
      </c>
      <c r="E46" s="308">
        <v>0.060063334936659774</v>
      </c>
      <c r="F46" s="308">
        <f>IF(C6=0,0,(((E7+E9-E11)/E6)+((D7+D9-D11)/D6)+((C7+C9-C11)/C6))/3)</f>
        <v>0.1412028237592521</v>
      </c>
      <c r="G46" s="308">
        <f>IF(D6=0,0,(((F7+F9-F11)/F6)+((E7+E9-E11)/E6)+((D7+D9-D11)/D6))/3)</f>
        <v>0.16454253219786721</v>
      </c>
      <c r="H46" s="308">
        <f>IF(E6=0,0,(((G7+G9-G11)/G6)+((F7+F9-F11)/F6)+((E7+E9-E11)/E6))/3)</f>
        <v>0.20735489374898194</v>
      </c>
      <c r="I46" s="308">
        <f>IF(F6=0,0,(((H7+H9-H11)/H6)+((G7+G9-G11)/G6)+((F7+F9-F11)/F6))/3)</f>
        <v>0.190637169225527</v>
      </c>
      <c r="J46" s="308">
        <f>IF(G6=0,0,(((I7+I9-I11)/I6)+((H7+H9-H11)/H6)+((G7+G9-G11)/G6))/3)</f>
        <v>0.191379950234734</v>
      </c>
      <c r="K46" s="308">
        <f>IF(H6=0,0,(((J7+J9-J11)/J6)+((I7+I9-I11)/I6)+((H7+H9-H11)/H6))/3)</f>
        <v>0.19212208830451236</v>
      </c>
      <c r="L46" s="308">
        <f>IF(I6=0,0,(((K7+K9-K11)/K6)+((J7+J9-J11)/J6)+((I7+I9-I11)/I6))/3)</f>
        <v>0.1928635839203026</v>
      </c>
      <c r="M46" s="308">
        <f>IF(J6=0,0,(((L7+L9-L11)/L6)+((K7+K9-K11)/K6)+((J7+J9-J11)/J6))/3)</f>
        <v>0.19360443756730997</v>
      </c>
      <c r="N46" s="308">
        <f>IF(K6=0,0,(((M7+M9-M11)/M6)+((L7+L9-L11)/L6)+((K7+K9-K11)/K6))/3)</f>
        <v>0.1943446497305036</v>
      </c>
      <c r="O46" s="308">
        <f>IF(L6=0,0,(((N7+N9-N11)/N6)+((M7+M9-M11)/M6)+((L7+L9-L11)/L6))/3)</f>
        <v>0.19508422089461694</v>
      </c>
      <c r="P46" s="308">
        <f>IF(M6=0,0,(((O7+O9-O11)/O6)+((N7+N9-N11)/N6)+((M7+M9-M11)/M6))/3)</f>
        <v>0.19582315154414728</v>
      </c>
      <c r="Q46" s="308">
        <f>IF(N6=0,0,(((P7+P9-P11)/P6)+((O7+O9-O11)/O6)+((N7+N9-N11)/N6))/3)</f>
        <v>0.1965614421633557</v>
      </c>
      <c r="R46" s="308">
        <f>IF(O6=0,0,(((Q7+Q9-Q11)/Q6)+((P7+P9-P11)/P6)+((O7+O9-O11)/O6))/3)</f>
        <v>0.19729909323626693</v>
      </c>
      <c r="S46" s="308">
        <f>IF(P6=0,0,(((R7+R9-R11)/R6)+((Q7+Q9-Q11)/Q6)+((P7+P9-P11)/P6))/3)</f>
        <v>0.19803610524666923</v>
      </c>
      <c r="T46" s="308">
        <f>IF(Q6=0,0,(((S7+S9-S11)/S6)+((R7+R9-R11)/R6)+((Q7+Q9-Q11)/Q6))/3)</f>
        <v>0.1987724786781142</v>
      </c>
      <c r="U46" s="308">
        <f>IF(R6=0,0,(((T7+T9-T11)/T6)+((S7+S9-S11)/S6)+((R7+R9-R11)/R6))/3)</f>
        <v>0.19950821401391675</v>
      </c>
      <c r="V46" s="308">
        <f>IF(S6=0,0,(((U7+U9-U11)/U6)+((T7+T9-T11)/T6)+((S7+S9-S11)/S6))/3)</f>
        <v>0.20024331173715484</v>
      </c>
      <c r="W46" s="308">
        <f>IF(T6=0,0,(((V7+V9-V11)/V6)+((U7+U9-U11)/U6)+((T7+T9-T11)/T6))/3)</f>
        <v>0.20097777233066938</v>
      </c>
      <c r="X46" s="308">
        <f>IF(U6=0,0,(((W7+W9-W11)/W6)+((V7+V9-V11)/V6)+((U7+U9-U11)/U6))/3)</f>
        <v>0.20171159627706425</v>
      </c>
    </row>
    <row r="47" spans="2:24" ht="42" customHeight="1">
      <c r="B47" s="295" t="s">
        <v>441</v>
      </c>
      <c r="C47" s="74" t="str">
        <f>IF(C45&lt;=C46,"TAK","NIE")</f>
        <v>TAK</v>
      </c>
      <c r="D47" s="74" t="str">
        <f>IF(D45&lt;=D46,"TAK","NIE")</f>
        <v>NIE</v>
      </c>
      <c r="E47" s="74" t="str">
        <f>IF(E45&lt;=E46,"TAK","NIE")</f>
        <v>NIE</v>
      </c>
      <c r="F47" s="74" t="str">
        <f>IF(F45&lt;=F46,"TAK","NIE")</f>
        <v>TAK</v>
      </c>
      <c r="G47" s="74" t="str">
        <f>IF(G45&lt;=G46,"TAK","NIE")</f>
        <v>TAK</v>
      </c>
      <c r="H47" s="74" t="str">
        <f>IF(H45&lt;=H46,"TAK","NIE")</f>
        <v>TAK</v>
      </c>
      <c r="I47" s="74" t="str">
        <f>IF(I45&lt;=I46,"TAK","NIE")</f>
        <v>TAK</v>
      </c>
      <c r="J47" s="74" t="str">
        <f>IF(J45&lt;=J46,"TAK","NIE")</f>
        <v>TAK</v>
      </c>
      <c r="K47" s="74" t="str">
        <f>IF(K45&lt;=K46,"TAK","NIE")</f>
        <v>TAK</v>
      </c>
      <c r="L47" s="74" t="str">
        <f>IF(L45&lt;=L46,"TAK","NIE")</f>
        <v>TAK</v>
      </c>
      <c r="M47" s="74" t="str">
        <f>IF(M45&lt;=M46,"TAK","NIE")</f>
        <v>TAK</v>
      </c>
      <c r="N47" s="74" t="str">
        <f>IF(N45&lt;=N46,"TAK","NIE")</f>
        <v>TAK</v>
      </c>
      <c r="O47" s="74" t="str">
        <f>IF(O45&lt;=O46,"TAK","NIE")</f>
        <v>TAK</v>
      </c>
      <c r="P47" s="74" t="str">
        <f>IF(P45&lt;=P46,"TAK","NIE")</f>
        <v>TAK</v>
      </c>
      <c r="Q47" s="74" t="str">
        <f>IF(Q45&lt;=Q46,"TAK","NIE")</f>
        <v>TAK</v>
      </c>
      <c r="R47" s="74" t="str">
        <f>IF(R45&lt;=R46,"TAK","NIE")</f>
        <v>TAK</v>
      </c>
      <c r="S47" s="74" t="str">
        <f>IF(S45&lt;=S46,"TAK","NIE")</f>
        <v>TAK</v>
      </c>
      <c r="T47" s="74" t="str">
        <f>IF(T45&lt;=T46,"TAK","NIE")</f>
        <v>TAK</v>
      </c>
      <c r="U47" s="74" t="str">
        <f>IF(U45&lt;=U46,"TAK","NIE")</f>
        <v>TAK</v>
      </c>
      <c r="V47" s="74" t="str">
        <f>IF(V45&lt;=V46,"TAK","NIE")</f>
        <v>TAK</v>
      </c>
      <c r="W47" s="74" t="str">
        <f>IF(W45&lt;=W46,"TAK","NIE")</f>
        <v>TAK</v>
      </c>
      <c r="X47" s="74" t="str">
        <f>IF(X45&lt;=X46,"TAK","NIE")</f>
        <v>TAK</v>
      </c>
    </row>
    <row r="51" spans="2:3" ht="12.75">
      <c r="B51" t="s">
        <v>442</v>
      </c>
      <c r="C51" t="s">
        <v>443</v>
      </c>
    </row>
    <row r="52" ht="12.75">
      <c r="B52" s="309" t="str">
        <f>E2</f>
        <v>02 lutego 2012</v>
      </c>
    </row>
    <row r="58" spans="3:24" ht="12.75">
      <c r="C58" s="162">
        <v>2011</v>
      </c>
      <c r="D58" s="162">
        <v>2012</v>
      </c>
      <c r="E58" s="162">
        <v>2013</v>
      </c>
      <c r="F58" s="162">
        <v>2014</v>
      </c>
      <c r="G58" s="162">
        <v>2015</v>
      </c>
      <c r="H58" s="162">
        <v>2016</v>
      </c>
      <c r="I58" s="162">
        <v>2017</v>
      </c>
      <c r="J58" s="162">
        <v>2018</v>
      </c>
      <c r="K58" s="162">
        <v>2019</v>
      </c>
      <c r="L58" s="162">
        <v>2020</v>
      </c>
      <c r="M58" s="162">
        <v>2021</v>
      </c>
      <c r="N58" s="162">
        <v>2022</v>
      </c>
      <c r="O58" s="162">
        <v>2023</v>
      </c>
      <c r="P58" s="162">
        <v>2024</v>
      </c>
      <c r="Q58" s="162">
        <v>2025</v>
      </c>
      <c r="R58" s="162">
        <v>2026</v>
      </c>
      <c r="S58" s="162">
        <v>2027</v>
      </c>
      <c r="T58" s="162">
        <v>2028</v>
      </c>
      <c r="U58" s="162">
        <v>2029</v>
      </c>
      <c r="V58" s="162">
        <v>2030</v>
      </c>
      <c r="W58" s="162">
        <v>2031</v>
      </c>
      <c r="X58" s="162">
        <v>2032</v>
      </c>
    </row>
    <row r="59" spans="2:25" ht="15">
      <c r="B59" s="149" t="s">
        <v>444</v>
      </c>
      <c r="C59" s="310">
        <f>zał2!E70+zał2!E71</f>
        <v>6701134</v>
      </c>
      <c r="D59" s="310">
        <f>zał2!F70+zał2!F71</f>
        <v>7281140.890000001</v>
      </c>
      <c r="E59" s="310">
        <f>zał2!G70+zał2!G71</f>
        <v>5436134.04</v>
      </c>
      <c r="F59" s="310">
        <f>zał2!H70+zał2!H71</f>
        <v>5436134.84</v>
      </c>
      <c r="G59" s="310">
        <f>zał2!I70+zał2!I71</f>
        <v>3034270.84</v>
      </c>
      <c r="H59" s="310">
        <f>zał2!J70+zał2!J71</f>
        <v>3034270.84</v>
      </c>
      <c r="I59" s="310">
        <f>zał2!K70+zał2!K71</f>
        <v>3034270.84</v>
      </c>
      <c r="J59" s="310">
        <f>zał2!L70+zał2!L71</f>
        <v>3034270.84</v>
      </c>
      <c r="K59" s="310">
        <f>zał2!M70+zał2!M71</f>
        <v>3034279.84</v>
      </c>
      <c r="L59" s="310">
        <f>zał2!N70+zał2!N71</f>
        <v>2019326.73</v>
      </c>
      <c r="M59" s="310">
        <f>zał2!O70+zał2!O71</f>
        <v>471848</v>
      </c>
      <c r="N59" s="310">
        <f>zał2!P70+zał2!P71</f>
        <v>471848</v>
      </c>
      <c r="O59" s="310">
        <f>zał2!Q70+zał2!Q71</f>
        <v>471848</v>
      </c>
      <c r="P59" s="310">
        <f>zał2!R70+zał2!R71</f>
        <v>471848</v>
      </c>
      <c r="Q59" s="310">
        <f>zał2!S70+zał2!S71</f>
        <v>471848</v>
      </c>
      <c r="R59" s="310">
        <f>zał2!T70+zał2!T71</f>
        <v>471848</v>
      </c>
      <c r="S59" s="310">
        <f>zał2!U70+zał2!U71</f>
        <v>471848</v>
      </c>
      <c r="T59" s="310">
        <f>zał2!V70+zał2!V71</f>
        <v>471848</v>
      </c>
      <c r="U59" s="310">
        <f>zał2!W70+zał2!W71</f>
        <v>471848</v>
      </c>
      <c r="V59" s="310">
        <f>zał2!X70+zał2!X71</f>
        <v>471848</v>
      </c>
      <c r="W59" s="310">
        <f>zał2!Y70+zał2!Y71</f>
        <v>471860</v>
      </c>
      <c r="X59" s="310">
        <f>zał2!Z70+zał2!Z71</f>
        <v>0</v>
      </c>
      <c r="Y59" s="310"/>
    </row>
    <row r="60" spans="2:24" ht="12.75">
      <c r="B60" s="149" t="s">
        <v>445</v>
      </c>
      <c r="C60" s="311">
        <f>zał2!E78+zał2!E79+zał2!E77</f>
        <v>1974529.9</v>
      </c>
      <c r="D60" s="311">
        <f>zał2!F78+zał2!F79+zał2!F77</f>
        <v>1245956.9</v>
      </c>
      <c r="E60" s="311">
        <f>zał2!G78+zał2!G79+zał2!G77</f>
        <v>1083800.9</v>
      </c>
      <c r="F60" s="311">
        <f>zał2!H78+zał2!H79+zał2!H77</f>
        <v>1083800.9</v>
      </c>
      <c r="G60" s="311">
        <f>zał2!I78+zał2!I79+zał2!I77</f>
        <v>860083.9</v>
      </c>
      <c r="H60" s="311">
        <f>zał2!J78+zał2!J79+zał2!J77</f>
        <v>860083.9</v>
      </c>
      <c r="I60" s="311">
        <f>zał2!K78+zał2!K79+zał2!K77</f>
        <v>860083.9</v>
      </c>
      <c r="J60" s="311">
        <f>zał2!L78+zał2!L79+zał2!L77</f>
        <v>860083.9</v>
      </c>
      <c r="K60" s="311">
        <f>zał2!M78+zał2!M79+zał2!M77</f>
        <v>860086.9</v>
      </c>
      <c r="L60" s="311">
        <f>zał2!N78+zał2!N79+zał2!N77</f>
        <v>388668.9</v>
      </c>
      <c r="M60" s="311">
        <f>zał2!O78+zał2!O79+zał2!O77</f>
        <v>75188</v>
      </c>
      <c r="N60" s="311">
        <f>zał2!P78+zał2!P79+zał2!P77</f>
        <v>75188</v>
      </c>
      <c r="O60" s="311">
        <f>zał2!Q78+zał2!Q79+zał2!Q77</f>
        <v>75188</v>
      </c>
      <c r="P60" s="311">
        <f>zał2!R78+zał2!R79+zał2!R77</f>
        <v>75188</v>
      </c>
      <c r="Q60" s="311">
        <f>zał2!S78+zał2!S79+zał2!S77</f>
        <v>75188</v>
      </c>
      <c r="R60" s="311">
        <f>zał2!T78+zał2!T79+zał2!T77</f>
        <v>75188</v>
      </c>
      <c r="S60" s="311">
        <f>zał2!U78+zał2!U79+zał2!U77</f>
        <v>75188</v>
      </c>
      <c r="T60" s="311">
        <f>zał2!V78+zał2!V79+zał2!V77</f>
        <v>75188</v>
      </c>
      <c r="U60" s="311">
        <f>zał2!W78+zał2!W79+zał2!W77</f>
        <v>75188</v>
      </c>
      <c r="V60" s="311">
        <f>zał2!X78+zał2!X79+zał2!X77</f>
        <v>75188</v>
      </c>
      <c r="W60" s="311">
        <f>zał2!Y78+zał2!Y79+zał2!Y77</f>
        <v>75234</v>
      </c>
      <c r="X60" s="311">
        <f>zał2!Z78+zał2!Z79+zał2!Z77</f>
        <v>0</v>
      </c>
    </row>
    <row r="61" spans="2:25" ht="24.75">
      <c r="B61" s="312" t="s">
        <v>446</v>
      </c>
      <c r="C61" s="313">
        <v>1566669.5850000002</v>
      </c>
      <c r="D61" s="6">
        <f>SUM(D62*0.05)</f>
        <v>1662664.9405000003</v>
      </c>
      <c r="E61" s="6">
        <f>SUM(E62*0.05)</f>
        <v>1390858.2385000002</v>
      </c>
      <c r="F61" s="6">
        <f>SUM(F62*0.05)</f>
        <v>1119051.4965000001</v>
      </c>
      <c r="G61" s="6">
        <f>SUM(G62*0.05)</f>
        <v>967337.9545000002</v>
      </c>
      <c r="H61" s="6">
        <f>SUM(H62*0.05)</f>
        <v>815624.4125000002</v>
      </c>
      <c r="I61" s="6">
        <f>SUM(I62*0.05)</f>
        <v>663910.8705000002</v>
      </c>
      <c r="J61" s="6">
        <f>SUM(J62*0.05)</f>
        <v>512197.32850000024</v>
      </c>
      <c r="K61" s="6">
        <f>SUM(K62*0.05)</f>
        <v>360483.3365000002</v>
      </c>
      <c r="Y61" t="s">
        <v>447</v>
      </c>
    </row>
    <row r="62" spans="2:23" ht="12.75">
      <c r="B62" s="149" t="s">
        <v>448</v>
      </c>
      <c r="C62" s="314">
        <f>zał2!E46</f>
        <v>40534439.7</v>
      </c>
      <c r="D62" s="6">
        <f>SUM(C62-D59)</f>
        <v>33253298.810000002</v>
      </c>
      <c r="E62" s="6">
        <f>SUM(D62-E59)</f>
        <v>27817164.770000003</v>
      </c>
      <c r="F62" s="6">
        <f>SUM(E62-F59)</f>
        <v>22381029.930000003</v>
      </c>
      <c r="G62" s="6">
        <f>SUM(F62-G59)</f>
        <v>19346759.090000004</v>
      </c>
      <c r="H62" s="6">
        <f>SUM(G62-H59)</f>
        <v>16312488.250000004</v>
      </c>
      <c r="I62" s="6">
        <f>SUM(H62-I59)</f>
        <v>13278217.410000004</v>
      </c>
      <c r="J62" s="6">
        <f>SUM(I62-J59)</f>
        <v>10243946.570000004</v>
      </c>
      <c r="K62" s="6">
        <f>SUM(J62-K59)</f>
        <v>7209666.730000004</v>
      </c>
      <c r="L62" s="6">
        <f>SUM(K62-L59)</f>
        <v>5190340.000000004</v>
      </c>
      <c r="M62" s="6">
        <f>SUM(L62-M59)</f>
        <v>4718492.000000004</v>
      </c>
      <c r="N62" s="6">
        <f>SUM(M62-N59)</f>
        <v>4246644.000000004</v>
      </c>
      <c r="O62" s="6">
        <f>SUM(N62-O59)</f>
        <v>3774796.0000000037</v>
      </c>
      <c r="P62" s="6">
        <f>SUM(O62-P59)</f>
        <v>3302948.0000000037</v>
      </c>
      <c r="Q62" s="6">
        <f>SUM(P62-Q59)</f>
        <v>2831100.0000000037</v>
      </c>
      <c r="R62" s="6">
        <f>SUM(Q62-R59)</f>
        <v>2359252.0000000037</v>
      </c>
      <c r="S62" s="6">
        <f>SUM(R62-S59)</f>
        <v>1887404.0000000037</v>
      </c>
      <c r="T62" s="6">
        <f>SUM(S62-T59)</f>
        <v>1415556.0000000037</v>
      </c>
      <c r="U62" s="6">
        <f>SUM(T62-U59)</f>
        <v>943708.0000000037</v>
      </c>
      <c r="V62" s="6">
        <f>SUM(U62-V59)</f>
        <v>471860.0000000037</v>
      </c>
      <c r="W62" s="6">
        <f>SUM(V62-W59)</f>
        <v>3.725290298461914E-09</v>
      </c>
    </row>
    <row r="63" spans="2:25" ht="12.75">
      <c r="B63" s="149" t="s">
        <v>449</v>
      </c>
      <c r="C63" s="229">
        <f>zał2!E72</f>
        <v>0</v>
      </c>
      <c r="D63" s="229">
        <f>zał2!F72</f>
        <v>0</v>
      </c>
      <c r="E63" s="315">
        <f>zał2!G72</f>
        <v>418691.39450000005</v>
      </c>
      <c r="F63" s="315">
        <f>zał2!H72</f>
        <v>418691.39450000005</v>
      </c>
      <c r="G63" s="315">
        <f>zał2!I72</f>
        <v>418691.39450000005</v>
      </c>
      <c r="H63" s="315">
        <f>zał2!J72</f>
        <v>418691.39450000005</v>
      </c>
      <c r="I63" s="315">
        <f>zał2!K72</f>
        <v>418691.39450000005</v>
      </c>
      <c r="J63" s="315">
        <f>zał2!L72</f>
        <v>418691.39450000005</v>
      </c>
      <c r="K63" s="315">
        <f>zał2!M72</f>
        <v>418691.39450000005</v>
      </c>
      <c r="L63" s="315">
        <f>zał2!N72</f>
        <v>418691.39450000005</v>
      </c>
      <c r="M63" s="315">
        <f>zał2!O72</f>
        <v>418691.39450000005</v>
      </c>
      <c r="N63" s="315">
        <f>zał2!P72</f>
        <v>418691.39450000005</v>
      </c>
      <c r="O63" s="315">
        <f>zał2!Q72</f>
        <v>418691.39450000005</v>
      </c>
      <c r="P63" s="315">
        <f>zał2!R72</f>
        <v>418691.39450000005</v>
      </c>
      <c r="Q63" s="315">
        <f>zał2!S72</f>
        <v>418691.39450000005</v>
      </c>
      <c r="R63" s="315">
        <f>zał2!T72</f>
        <v>418691.39450000005</v>
      </c>
      <c r="S63" s="315">
        <f>zał2!U72</f>
        <v>418691.39450000005</v>
      </c>
      <c r="T63" s="315">
        <f>zał2!V72</f>
        <v>418691.39450000005</v>
      </c>
      <c r="U63" s="315">
        <f>zał2!W72</f>
        <v>418691.39450000005</v>
      </c>
      <c r="V63" s="315">
        <f>zał2!X72</f>
        <v>418691.39450000005</v>
      </c>
      <c r="W63" s="315">
        <f>zał2!Y72</f>
        <v>418691.39450000005</v>
      </c>
      <c r="X63" s="315">
        <f>zał2!Z72</f>
        <v>418691.39450000005</v>
      </c>
      <c r="Y63" s="195">
        <f>SUM(D63:X63)</f>
        <v>8373827.890000003</v>
      </c>
    </row>
    <row r="64" spans="2:25" ht="12.75">
      <c r="B64" s="149" t="s">
        <v>445</v>
      </c>
      <c r="C64" s="229">
        <f>zał2!E80</f>
        <v>0</v>
      </c>
      <c r="D64" s="229">
        <f>zał2!F80</f>
        <v>0</v>
      </c>
      <c r="E64" s="229">
        <f>zał2!G80</f>
        <v>131634.35</v>
      </c>
      <c r="F64" s="229">
        <f>zał2!H80</f>
        <v>131634.35</v>
      </c>
      <c r="G64" s="229">
        <f>zał2!I80</f>
        <v>131634.35</v>
      </c>
      <c r="H64" s="229">
        <f>zał2!J80</f>
        <v>131634.35</v>
      </c>
      <c r="I64" s="229">
        <f>zał2!K80</f>
        <v>131634.35</v>
      </c>
      <c r="J64" s="229">
        <f>zał2!L80</f>
        <v>131634.35</v>
      </c>
      <c r="K64" s="229">
        <f>zał2!M80</f>
        <v>131634.35</v>
      </c>
      <c r="L64" s="229">
        <f>zał2!N80</f>
        <v>131634.35</v>
      </c>
      <c r="M64" s="229">
        <f>zał2!O80</f>
        <v>131634.35</v>
      </c>
      <c r="N64" s="229">
        <f>zał2!P80</f>
        <v>131634.35</v>
      </c>
      <c r="O64" s="229">
        <f>zał2!Q80</f>
        <v>131634.35</v>
      </c>
      <c r="P64" s="229">
        <f>zał2!R80</f>
        <v>131634.35</v>
      </c>
      <c r="Q64" s="229">
        <f>zał2!S80</f>
        <v>131634.35</v>
      </c>
      <c r="R64" s="229">
        <f>zał2!T80</f>
        <v>131634.35</v>
      </c>
      <c r="S64" s="229">
        <f>zał2!U80</f>
        <v>131634.35</v>
      </c>
      <c r="T64" s="229">
        <f>zał2!V80</f>
        <v>131634.35</v>
      </c>
      <c r="U64" s="229">
        <f>zał2!W80</f>
        <v>131634.35</v>
      </c>
      <c r="V64" s="229">
        <f>zał2!X80</f>
        <v>131634.35</v>
      </c>
      <c r="W64" s="229">
        <f>zał2!Y80</f>
        <v>131634.35</v>
      </c>
      <c r="X64" s="229">
        <f>zał2!Z80</f>
        <v>131634.35</v>
      </c>
      <c r="Y64" s="195">
        <f>SUM(D64:X64)</f>
        <v>2632687.000000001</v>
      </c>
    </row>
    <row r="65" spans="2:24" ht="12.75">
      <c r="B65" s="149" t="s">
        <v>450</v>
      </c>
      <c r="C65" s="313">
        <v>433330.4149999998</v>
      </c>
      <c r="D65" s="6">
        <f>SUM(D76-D61)</f>
        <v>537335.0594999997</v>
      </c>
      <c r="E65" s="6">
        <f>SUM(E76-E61)</f>
        <v>755479.8374299996</v>
      </c>
      <c r="F65" s="6">
        <f>SUM(F76-F61)</f>
        <v>675997.0053600001</v>
      </c>
      <c r="G65" s="6">
        <f>SUM(G76-G61)</f>
        <v>620532.81329</v>
      </c>
      <c r="H65" s="6">
        <f>SUM(H76-H61)</f>
        <v>565068.6212200002</v>
      </c>
      <c r="I65" s="6">
        <f>SUM(I76-I61)</f>
        <v>509604.4291500002</v>
      </c>
      <c r="J65" s="6">
        <f>SUM(J76-J61)</f>
        <v>454140.23708000017</v>
      </c>
      <c r="K65" s="6">
        <f>SUM(K76-K61)</f>
        <v>398675.95501000027</v>
      </c>
      <c r="L65" s="6">
        <f>SUM(L76-L61)</f>
        <v>612878.2040400004</v>
      </c>
      <c r="M65" s="6">
        <f>SUM(M76-M61)</f>
        <v>559445.8403700005</v>
      </c>
      <c r="N65" s="6">
        <f>SUM(N76-N61)</f>
        <v>506013.47670000046</v>
      </c>
      <c r="O65" s="6">
        <f>SUM(O76-O61)</f>
        <v>452581.1130300004</v>
      </c>
      <c r="P65" s="6">
        <f>SUM(P76-P61)</f>
        <v>399148.7493600004</v>
      </c>
      <c r="Q65" s="6">
        <f>SUM(Q76-Q61)</f>
        <v>345716.3856900004</v>
      </c>
      <c r="R65" s="6">
        <f>SUM(R76-R61)</f>
        <v>292284.0220200004</v>
      </c>
      <c r="S65" s="6">
        <f>SUM(S76-S61)</f>
        <v>238851.65835000036</v>
      </c>
      <c r="T65" s="6">
        <f>SUM(T76-T61)</f>
        <v>185419.29468000037</v>
      </c>
      <c r="U65" s="6">
        <f>SUM(U76-U61)</f>
        <v>131986.93101000038</v>
      </c>
      <c r="V65" s="6">
        <f>SUM(V76-V61)</f>
        <v>78554.56734000039</v>
      </c>
      <c r="W65" s="6">
        <f>SUM(W76-W61)</f>
        <v>25121.48367000038</v>
      </c>
      <c r="X65" s="6">
        <f>SUM(X76-X61)</f>
        <v>0</v>
      </c>
    </row>
    <row r="66" spans="2:24" ht="12.75">
      <c r="B66" s="149" t="s">
        <v>451</v>
      </c>
      <c r="C66" s="316">
        <f>zał2!C72</f>
        <v>8373827.890000001</v>
      </c>
      <c r="D66" s="6">
        <f>SUM(C66-D63)</f>
        <v>8373827.890000001</v>
      </c>
      <c r="E66" s="6">
        <f>SUM(D66-E63)</f>
        <v>7955136.4955</v>
      </c>
      <c r="F66" s="6">
        <f>SUM(E66-F63)</f>
        <v>7536445.101</v>
      </c>
      <c r="G66" s="6">
        <f>SUM(F66-G63)</f>
        <v>7117753.706499999</v>
      </c>
      <c r="H66" s="6">
        <f>SUM(G66-H63)</f>
        <v>6699062.311999999</v>
      </c>
      <c r="I66" s="6">
        <f>SUM(H66-I63)</f>
        <v>6280370.917499999</v>
      </c>
      <c r="J66" s="6">
        <f>SUM(I66-J63)</f>
        <v>5861679.522999998</v>
      </c>
      <c r="K66" s="6">
        <f>SUM(J66-K63)</f>
        <v>5442988.128499998</v>
      </c>
      <c r="L66" s="6">
        <f>SUM(K66-L63)</f>
        <v>5024296.733999997</v>
      </c>
      <c r="M66" s="6">
        <f>SUM(L66-M63)</f>
        <v>4605605.339499997</v>
      </c>
      <c r="N66" s="6">
        <f>SUM(M66-N63)</f>
        <v>4186913.944999997</v>
      </c>
      <c r="O66" s="6">
        <f>SUM(N66-O63)</f>
        <v>3768222.550499997</v>
      </c>
      <c r="P66" s="6">
        <f>SUM(O66-P63)</f>
        <v>3349531.155999997</v>
      </c>
      <c r="Q66" s="6">
        <f>SUM(P66-Q63)</f>
        <v>2930839.761499997</v>
      </c>
      <c r="R66" s="6">
        <f>SUM(Q66-R63)</f>
        <v>2512148.3669999973</v>
      </c>
      <c r="S66" s="6">
        <f>SUM(R66-S63)</f>
        <v>2093456.9724999974</v>
      </c>
      <c r="T66" s="6">
        <f>SUM(S66-T63)</f>
        <v>1674765.5779999974</v>
      </c>
      <c r="U66" s="6">
        <f>SUM(T66-U63)</f>
        <v>1256074.1834999975</v>
      </c>
      <c r="V66" s="6">
        <f>SUM(U66-V63)</f>
        <v>837382.7889999974</v>
      </c>
      <c r="W66" s="6">
        <f>SUM(V66-W63)</f>
        <v>418691.3944999974</v>
      </c>
      <c r="X66" s="6"/>
    </row>
    <row r="67" spans="2:25" ht="12.75">
      <c r="B67" s="149" t="s">
        <v>445</v>
      </c>
      <c r="C67" s="317">
        <f>zał2!C80</f>
        <v>2632687</v>
      </c>
      <c r="D67" s="215">
        <f>SUM(C67-D64)</f>
        <v>2632687</v>
      </c>
      <c r="E67" s="215">
        <f>SUM(D67-E64)</f>
        <v>2501052.65</v>
      </c>
      <c r="F67" s="215">
        <f>SUM(E67-F64)</f>
        <v>2369418.3</v>
      </c>
      <c r="G67" s="215">
        <f>SUM(F67-G64)</f>
        <v>2237783.9499999997</v>
      </c>
      <c r="H67" s="215">
        <f>SUM(G67-H64)</f>
        <v>2106149.5999999996</v>
      </c>
      <c r="I67" s="215">
        <f>SUM(H67-I64)</f>
        <v>1974515.2499999995</v>
      </c>
      <c r="J67" s="215">
        <f>SUM(I67-J64)</f>
        <v>1842880.8999999994</v>
      </c>
      <c r="K67" s="215">
        <f>SUM(J67-K64)</f>
        <v>1711246.5499999993</v>
      </c>
      <c r="L67" s="215">
        <f>SUM(K67-L64)</f>
        <v>1579612.1999999993</v>
      </c>
      <c r="M67" s="215">
        <f>SUM(L67-M64)</f>
        <v>1447977.8499999992</v>
      </c>
      <c r="N67" s="215">
        <f>SUM(M67-N64)</f>
        <v>1316343.499999999</v>
      </c>
      <c r="O67" s="215">
        <f>SUM(N67-O64)</f>
        <v>1184709.149999999</v>
      </c>
      <c r="P67" s="215">
        <f>SUM(O67-P64)</f>
        <v>1053074.7999999989</v>
      </c>
      <c r="Q67" s="215">
        <f>SUM(P67-Q64)</f>
        <v>921440.4499999989</v>
      </c>
      <c r="R67" s="215">
        <f>SUM(Q67-R64)</f>
        <v>789806.0999999989</v>
      </c>
      <c r="S67" s="215">
        <f>SUM(R67-S64)</f>
        <v>658171.749999999</v>
      </c>
      <c r="T67" s="215">
        <f>SUM(S67-T64)</f>
        <v>526537.399999999</v>
      </c>
      <c r="U67" s="215">
        <f>SUM(T67-U64)</f>
        <v>394903.049999999</v>
      </c>
      <c r="V67" s="215">
        <f>SUM(U67-V64)</f>
        <v>263268.699999999</v>
      </c>
      <c r="W67" s="215">
        <f>SUM(V67-W64)</f>
        <v>131634.34999999902</v>
      </c>
      <c r="X67" s="215"/>
      <c r="Y67" t="s">
        <v>447</v>
      </c>
    </row>
    <row r="68" spans="2:25" ht="12.75">
      <c r="B68" s="149" t="s">
        <v>452</v>
      </c>
      <c r="C68" s="318"/>
      <c r="D68" s="319"/>
      <c r="E68" s="215">
        <v>0</v>
      </c>
      <c r="F68" s="215">
        <v>0</v>
      </c>
      <c r="G68" s="215">
        <v>0</v>
      </c>
      <c r="H68" s="215">
        <v>0</v>
      </c>
      <c r="I68" s="215">
        <v>0</v>
      </c>
      <c r="J68" s="215">
        <v>0</v>
      </c>
      <c r="K68" s="215">
        <v>0</v>
      </c>
      <c r="L68" s="215">
        <v>0</v>
      </c>
      <c r="M68" s="215">
        <v>0</v>
      </c>
      <c r="N68" s="215">
        <v>0</v>
      </c>
      <c r="O68" s="215">
        <v>0</v>
      </c>
      <c r="P68" s="215">
        <v>0</v>
      </c>
      <c r="Q68" s="215">
        <v>0</v>
      </c>
      <c r="R68" s="215">
        <v>0</v>
      </c>
      <c r="S68" s="215">
        <v>0</v>
      </c>
      <c r="T68" s="215">
        <v>0</v>
      </c>
      <c r="U68" s="215">
        <v>0</v>
      </c>
      <c r="V68" s="215">
        <v>0</v>
      </c>
      <c r="W68" s="215">
        <v>0</v>
      </c>
      <c r="X68" s="215">
        <v>0</v>
      </c>
      <c r="Y68" s="215">
        <f>SUM(E68:X68)</f>
        <v>0</v>
      </c>
    </row>
    <row r="69" spans="2:25" ht="12.75">
      <c r="B69" s="149" t="s">
        <v>445</v>
      </c>
      <c r="C69" s="319"/>
      <c r="D69" s="319"/>
      <c r="E69" s="215">
        <v>0</v>
      </c>
      <c r="F69" s="215">
        <v>0</v>
      </c>
      <c r="G69" s="215">
        <v>0</v>
      </c>
      <c r="H69" s="215">
        <v>0</v>
      </c>
      <c r="I69" s="215">
        <v>0</v>
      </c>
      <c r="J69" s="215">
        <v>0</v>
      </c>
      <c r="K69" s="215">
        <v>0</v>
      </c>
      <c r="L69" s="215">
        <v>0</v>
      </c>
      <c r="M69" s="215">
        <v>0</v>
      </c>
      <c r="N69" s="215">
        <v>0</v>
      </c>
      <c r="O69" s="215">
        <v>0</v>
      </c>
      <c r="P69" s="215">
        <v>0</v>
      </c>
      <c r="Q69" s="215">
        <v>0</v>
      </c>
      <c r="R69" s="215">
        <v>0</v>
      </c>
      <c r="S69" s="215">
        <v>0</v>
      </c>
      <c r="T69" s="215">
        <v>0</v>
      </c>
      <c r="U69" s="215">
        <v>0</v>
      </c>
      <c r="V69" s="215">
        <v>0</v>
      </c>
      <c r="W69" s="215">
        <v>0</v>
      </c>
      <c r="X69" s="215">
        <v>0</v>
      </c>
      <c r="Y69" s="215">
        <f>SUM(E69:X69)</f>
        <v>0</v>
      </c>
    </row>
    <row r="70" spans="2:24" ht="12.75">
      <c r="B70" s="149" t="s">
        <v>453</v>
      </c>
      <c r="C70" s="317"/>
      <c r="D70" s="6">
        <f>SUM(D71*0.05)</f>
        <v>0</v>
      </c>
      <c r="E70" s="6">
        <f>SUM(E71*0.05)</f>
        <v>0</v>
      </c>
      <c r="F70" s="6">
        <f>SUM(F71*0.05)</f>
        <v>0</v>
      </c>
      <c r="G70" s="6">
        <f>SUM(G71*0.05)</f>
        <v>0</v>
      </c>
      <c r="H70" s="6">
        <f>SUM(H71*0.05)</f>
        <v>0</v>
      </c>
      <c r="I70" s="6">
        <f>SUM(I71*0.05)</f>
        <v>0</v>
      </c>
      <c r="J70" s="6">
        <f>SUM(J71*0.05)</f>
        <v>0</v>
      </c>
      <c r="K70" s="6">
        <f>SUM(K71*0.05)</f>
        <v>0</v>
      </c>
      <c r="L70" s="6">
        <f>SUM(L71*0.05)</f>
        <v>0</v>
      </c>
      <c r="M70" s="6">
        <f>SUM(M71*0.05)</f>
        <v>0</v>
      </c>
      <c r="N70" s="6">
        <f>SUM(N71*0.05)</f>
        <v>0</v>
      </c>
      <c r="O70" s="6">
        <f>SUM(O71*0.05)</f>
        <v>0</v>
      </c>
      <c r="P70" s="6">
        <f>SUM(P71*0.05)</f>
        <v>0</v>
      </c>
      <c r="Q70" s="6">
        <f>SUM(Q71*0.05)</f>
        <v>0</v>
      </c>
      <c r="R70" s="6">
        <f>SUM(R71*0.05)</f>
        <v>0</v>
      </c>
      <c r="S70" s="6">
        <f>SUM(S71*0.05)</f>
        <v>0</v>
      </c>
      <c r="T70" s="6">
        <f>SUM(T71*0.05)</f>
        <v>0</v>
      </c>
      <c r="U70" s="6">
        <f>SUM(U71*0.05)</f>
        <v>0</v>
      </c>
      <c r="V70" s="6">
        <f>SUM(V71*0.05)</f>
        <v>0</v>
      </c>
      <c r="W70" s="6">
        <f>SUM(W71*0.05)</f>
        <v>0</v>
      </c>
      <c r="X70" s="6">
        <f>SUM(X71*0.05)</f>
        <v>0</v>
      </c>
    </row>
    <row r="71" spans="2:24" ht="12.75">
      <c r="B71" s="149" t="s">
        <v>454</v>
      </c>
      <c r="C71" s="317"/>
      <c r="D71" s="317">
        <v>0</v>
      </c>
      <c r="E71" s="317">
        <v>0</v>
      </c>
      <c r="F71" s="317">
        <v>0</v>
      </c>
      <c r="G71" s="317">
        <v>0</v>
      </c>
      <c r="H71" s="317">
        <v>0</v>
      </c>
      <c r="I71" s="317">
        <v>0</v>
      </c>
      <c r="J71" s="317">
        <v>0</v>
      </c>
      <c r="K71" s="317">
        <v>0</v>
      </c>
      <c r="L71" s="317">
        <v>0</v>
      </c>
      <c r="M71" s="317">
        <v>0</v>
      </c>
      <c r="N71" s="317">
        <v>0</v>
      </c>
      <c r="O71" s="317">
        <v>0</v>
      </c>
      <c r="P71" s="317">
        <v>0</v>
      </c>
      <c r="Q71" s="317">
        <v>0</v>
      </c>
      <c r="R71" s="317">
        <v>0</v>
      </c>
      <c r="S71" s="317">
        <v>0</v>
      </c>
      <c r="T71" s="317">
        <v>0</v>
      </c>
      <c r="U71" s="317">
        <v>0</v>
      </c>
      <c r="V71" s="317">
        <v>0</v>
      </c>
      <c r="W71" s="317">
        <v>0</v>
      </c>
      <c r="X71" s="317">
        <v>0</v>
      </c>
    </row>
    <row r="72" spans="2:24" ht="12.75">
      <c r="B72" s="149" t="s">
        <v>445</v>
      </c>
      <c r="C72" s="317"/>
      <c r="D72" s="320">
        <v>0</v>
      </c>
      <c r="E72" s="317">
        <v>0</v>
      </c>
      <c r="F72" s="317">
        <v>0</v>
      </c>
      <c r="G72" s="317">
        <v>0</v>
      </c>
      <c r="H72" s="317">
        <v>0</v>
      </c>
      <c r="I72" s="317">
        <v>0</v>
      </c>
      <c r="J72" s="317">
        <v>0</v>
      </c>
      <c r="K72" s="317">
        <v>0</v>
      </c>
      <c r="L72" s="317">
        <v>0</v>
      </c>
      <c r="M72" s="317">
        <v>0</v>
      </c>
      <c r="N72" s="317">
        <v>0</v>
      </c>
      <c r="O72" s="317">
        <v>0</v>
      </c>
      <c r="P72" s="317">
        <v>0</v>
      </c>
      <c r="Q72" s="317">
        <v>0</v>
      </c>
      <c r="R72" s="317">
        <v>0</v>
      </c>
      <c r="S72" s="317">
        <v>0</v>
      </c>
      <c r="T72" s="317">
        <v>0</v>
      </c>
      <c r="U72" s="317">
        <v>0</v>
      </c>
      <c r="V72" s="317">
        <v>0</v>
      </c>
      <c r="W72" s="317">
        <v>0</v>
      </c>
      <c r="X72" s="317">
        <v>0</v>
      </c>
    </row>
    <row r="73" spans="2:24" ht="12.75">
      <c r="B73" s="149" t="s">
        <v>455</v>
      </c>
      <c r="C73" s="321">
        <f>zał2!E49</f>
        <v>40534439.7</v>
      </c>
      <c r="D73" s="215">
        <f>SUM(D62+D66)</f>
        <v>41627126.7</v>
      </c>
      <c r="E73" s="215">
        <f>SUM(E62+E66)</f>
        <v>35772301.2655</v>
      </c>
      <c r="F73" s="215">
        <f>SUM(F62+F66)</f>
        <v>29917475.031000003</v>
      </c>
      <c r="G73" s="215">
        <f>SUM(G62+G66)</f>
        <v>26464512.796500005</v>
      </c>
      <c r="H73" s="215">
        <f>SUM(H62+H66)</f>
        <v>23011550.562000003</v>
      </c>
      <c r="I73" s="215">
        <f>SUM(I62+I66)</f>
        <v>19558588.3275</v>
      </c>
      <c r="J73" s="215">
        <f>SUM(J62+J66)</f>
        <v>16105626.093000002</v>
      </c>
      <c r="K73" s="215">
        <f>SUM(K62+K66)</f>
        <v>12652654.858500002</v>
      </c>
      <c r="L73" s="215">
        <f>SUM(L62+L66)</f>
        <v>10214636.734000001</v>
      </c>
      <c r="M73" s="215">
        <f>SUM(M62+M66)</f>
        <v>9324097.3395</v>
      </c>
      <c r="N73" s="215">
        <f>SUM(N62+N66)</f>
        <v>8433557.945</v>
      </c>
      <c r="O73" s="215">
        <f>SUM(O62+O66)</f>
        <v>7543018.550500001</v>
      </c>
      <c r="P73" s="215">
        <f>SUM(P62+P66)</f>
        <v>6652479.156000001</v>
      </c>
      <c r="Q73" s="215">
        <f>SUM(Q62+Q66)</f>
        <v>5761939.761500001</v>
      </c>
      <c r="R73" s="215">
        <f>SUM(R62+R66)</f>
        <v>4871400.367000001</v>
      </c>
      <c r="S73" s="215">
        <f>SUM(S62+S66)</f>
        <v>3980860.972500001</v>
      </c>
      <c r="T73" s="215">
        <f>SUM(T62+T66)</f>
        <v>3090321.578000001</v>
      </c>
      <c r="U73" s="215">
        <f>SUM(U62+U66)</f>
        <v>2199782.183500001</v>
      </c>
      <c r="V73" s="215">
        <f>SUM(V62+V66)</f>
        <v>1309242.7890000013</v>
      </c>
      <c r="W73" s="215">
        <f>SUM(W62+W66)</f>
        <v>418691.3945000011</v>
      </c>
      <c r="X73" s="215">
        <f>SUM(X62+X66)</f>
        <v>0</v>
      </c>
    </row>
    <row r="74" spans="2:24" ht="12.75">
      <c r="B74" s="149" t="s">
        <v>456</v>
      </c>
      <c r="C74" s="321">
        <f>zał2!E50</f>
        <v>8929764.1</v>
      </c>
      <c r="D74" s="215">
        <f>zał2!F50</f>
        <v>10316494.2</v>
      </c>
      <c r="E74" s="215">
        <f>zał2!G50</f>
        <v>9101058.95</v>
      </c>
      <c r="F74" s="215">
        <f>zał2!H50</f>
        <v>7885623.699999999</v>
      </c>
      <c r="G74" s="215">
        <f>zał2!I50</f>
        <v>6893905.449999999</v>
      </c>
      <c r="H74" s="215">
        <f>zał2!J50</f>
        <v>5902187.199999999</v>
      </c>
      <c r="I74" s="215">
        <f>zał2!K50</f>
        <v>4910468.949999999</v>
      </c>
      <c r="J74" s="215">
        <f>zał2!L50</f>
        <v>3918750.6999999993</v>
      </c>
      <c r="K74" s="215">
        <f>zał2!M50</f>
        <v>2927029.4499999993</v>
      </c>
      <c r="L74" s="215">
        <f>zał2!N50</f>
        <v>2406726.1999999993</v>
      </c>
      <c r="M74" s="215">
        <f>zał2!O50</f>
        <v>2199903.849999999</v>
      </c>
      <c r="N74" s="215">
        <f>zał2!P50</f>
        <v>1993081.499999999</v>
      </c>
      <c r="O74" s="215">
        <f>zał2!Q50</f>
        <v>1786259.149999999</v>
      </c>
      <c r="P74" s="215">
        <f>zał2!R50</f>
        <v>1579436.7999999989</v>
      </c>
      <c r="Q74" s="215">
        <f>zał2!S50</f>
        <v>1372614.4499999988</v>
      </c>
      <c r="R74" s="215">
        <f>zał2!T50</f>
        <v>1165792.0999999987</v>
      </c>
      <c r="S74" s="215">
        <f>zał2!U50</f>
        <v>958969.7499999987</v>
      </c>
      <c r="T74" s="215">
        <f>zał2!V50</f>
        <v>752147.3999999987</v>
      </c>
      <c r="U74" s="215">
        <f>zał2!W50</f>
        <v>545325.0499999988</v>
      </c>
      <c r="V74" s="215">
        <f>zał2!X50</f>
        <v>338502.6999999988</v>
      </c>
      <c r="W74" s="215">
        <f>zał2!Y50</f>
        <v>131634.34999999878</v>
      </c>
      <c r="X74" s="215">
        <f>zał2!Z50</f>
        <v>-1.2223608791828156E-09</v>
      </c>
    </row>
    <row r="76" spans="2:24" ht="12.75">
      <c r="B76" s="149" t="s">
        <v>457</v>
      </c>
      <c r="C76" s="322">
        <f>zał2!E40</f>
        <v>1650727.24</v>
      </c>
      <c r="D76" s="322">
        <f>zał2!F40</f>
        <v>2200000</v>
      </c>
      <c r="E76" s="322">
        <f>zał2!G40</f>
        <v>2146338.07593</v>
      </c>
      <c r="F76" s="322">
        <f>zał2!H40</f>
        <v>1795048.5018600002</v>
      </c>
      <c r="G76" s="322">
        <f>zał2!I40</f>
        <v>1587870.7677900002</v>
      </c>
      <c r="H76" s="322">
        <f>zał2!J40</f>
        <v>1380693.0337200004</v>
      </c>
      <c r="I76" s="322">
        <f>zał2!K40</f>
        <v>1173515.2996500004</v>
      </c>
      <c r="J76" s="322">
        <f>zał2!L40</f>
        <v>966337.5655800004</v>
      </c>
      <c r="K76" s="322">
        <f>zał2!M40</f>
        <v>759159.2915100005</v>
      </c>
      <c r="L76" s="322">
        <f>zał2!N40</f>
        <v>612878.2040400004</v>
      </c>
      <c r="M76" s="322">
        <f>zał2!O40</f>
        <v>559445.8403700005</v>
      </c>
      <c r="N76" s="322">
        <f>zał2!P40</f>
        <v>506013.47670000046</v>
      </c>
      <c r="O76" s="322">
        <f>zał2!Q40</f>
        <v>452581.1130300004</v>
      </c>
      <c r="P76" s="322">
        <f>zał2!R40</f>
        <v>399148.7493600004</v>
      </c>
      <c r="Q76" s="322">
        <f>zał2!S40</f>
        <v>345716.3856900004</v>
      </c>
      <c r="R76" s="322">
        <f>zał2!T40</f>
        <v>292284.0220200004</v>
      </c>
      <c r="S76" s="322">
        <f>zał2!U40</f>
        <v>238851.65835000036</v>
      </c>
      <c r="T76" s="322">
        <f>zał2!V40</f>
        <v>185419.29468000037</v>
      </c>
      <c r="U76" s="322">
        <f>zał2!W40</f>
        <v>131986.93101000038</v>
      </c>
      <c r="V76" s="322">
        <f>zał2!X40</f>
        <v>78554.56734000039</v>
      </c>
      <c r="W76" s="322">
        <f>zał2!Y40</f>
        <v>25121.48367000038</v>
      </c>
      <c r="X76" s="322">
        <f>zał2!Z40</f>
        <v>0</v>
      </c>
    </row>
    <row r="77" spans="2:24" ht="12.75">
      <c r="B77" s="149" t="s">
        <v>458</v>
      </c>
      <c r="C77" s="323">
        <v>300000</v>
      </c>
      <c r="D77" s="323">
        <f>SUM(D78-D76)</f>
        <v>200000</v>
      </c>
      <c r="E77" s="323">
        <f>SUM(E78-E76)</f>
        <v>0</v>
      </c>
      <c r="F77" s="323">
        <f>SUM(F78-F76)</f>
        <v>0</v>
      </c>
      <c r="G77" s="323">
        <f>SUM(G78-G76)</f>
        <v>0</v>
      </c>
      <c r="H77" s="323">
        <f>SUM(H78-H76)</f>
        <v>0</v>
      </c>
      <c r="I77" s="323">
        <f>SUM(I78-I76)</f>
        <v>0</v>
      </c>
      <c r="J77" s="323">
        <f>SUM(J78-J76)</f>
        <v>0</v>
      </c>
      <c r="K77" s="323">
        <f>SUM(K78-K76)</f>
        <v>0</v>
      </c>
      <c r="L77" s="323">
        <f>SUM(L78-L76)</f>
        <v>0</v>
      </c>
      <c r="M77" s="323">
        <f>SUM(M78-M76)</f>
        <v>0</v>
      </c>
      <c r="N77" s="323">
        <f>SUM(N78-N76)</f>
        <v>0</v>
      </c>
      <c r="O77" s="323">
        <f>SUM(O78-O76)</f>
        <v>0</v>
      </c>
      <c r="P77" s="323">
        <f>SUM(P78-P76)</f>
        <v>0</v>
      </c>
      <c r="Q77" s="323">
        <f>SUM(Q78-Q76)</f>
        <v>0</v>
      </c>
      <c r="R77" s="323">
        <f>SUM(R78-R76)</f>
        <v>0</v>
      </c>
      <c r="S77" s="323">
        <f>SUM(S78-S76)</f>
        <v>0</v>
      </c>
      <c r="T77" s="323">
        <f>SUM(T78-T76)</f>
        <v>0</v>
      </c>
      <c r="U77" s="323">
        <f>SUM(U78-U76)</f>
        <v>0</v>
      </c>
      <c r="V77" s="323">
        <f>SUM(V78-V76)</f>
        <v>0</v>
      </c>
      <c r="W77" s="323">
        <f>SUM(W78-W76)</f>
        <v>0</v>
      </c>
      <c r="X77" s="323">
        <f>SUM(X78-X76)</f>
        <v>0</v>
      </c>
    </row>
    <row r="78" spans="2:24" ht="24.75">
      <c r="B78" s="312" t="s">
        <v>459</v>
      </c>
      <c r="C78" s="321" t="e">
        <f>zał1!#REF!</f>
        <v>#REF!</v>
      </c>
      <c r="D78" s="321">
        <f>zał1!G26</f>
        <v>2400000</v>
      </c>
      <c r="E78" s="321">
        <f>zał1!H26</f>
        <v>2146338.07593</v>
      </c>
      <c r="F78" s="321">
        <f>zał1!I26</f>
        <v>1795048.5018600002</v>
      </c>
      <c r="G78" s="321">
        <f>zał1!J26</f>
        <v>1587870.7677900002</v>
      </c>
      <c r="H78" s="321">
        <f>zał1!K26</f>
        <v>1380693.0337200004</v>
      </c>
      <c r="I78" s="321">
        <f>zał1!L26</f>
        <v>1173515.2996500004</v>
      </c>
      <c r="J78" s="321">
        <f>zał1!M26</f>
        <v>966337.5655800004</v>
      </c>
      <c r="K78" s="321">
        <f>zał1!N26</f>
        <v>759159.2915100005</v>
      </c>
      <c r="L78" s="321">
        <f>zał1!O26</f>
        <v>612878.2040400004</v>
      </c>
      <c r="M78" s="321">
        <f>zał1!P26</f>
        <v>559445.8403700005</v>
      </c>
      <c r="N78" s="321">
        <f>zał1!Q26</f>
        <v>506013.47670000046</v>
      </c>
      <c r="O78" s="321">
        <f>zał1!R26</f>
        <v>452581.1130300004</v>
      </c>
      <c r="P78" s="321">
        <f>zał1!S26</f>
        <v>399148.7493600004</v>
      </c>
      <c r="Q78" s="321">
        <f>zał1!T26</f>
        <v>345716.3856900004</v>
      </c>
      <c r="R78" s="321">
        <f>zał1!U26</f>
        <v>292284.0220200004</v>
      </c>
      <c r="S78" s="321">
        <f>zał1!V26</f>
        <v>238851.65835000036</v>
      </c>
      <c r="T78" s="321">
        <f>zał1!W26</f>
        <v>185419.29468000037</v>
      </c>
      <c r="U78" s="321">
        <f>zał1!X26</f>
        <v>131986.93101000038</v>
      </c>
      <c r="V78" s="321">
        <f>zał1!Y26</f>
        <v>78554.56734000039</v>
      </c>
      <c r="W78" s="321">
        <f>zał1!Z26</f>
        <v>25121.48367000038</v>
      </c>
      <c r="X78" s="321">
        <f>zał1!AA26</f>
        <v>0</v>
      </c>
    </row>
  </sheetData>
  <sheetProtection selectLockedCells="1" selectUnlockedCells="1"/>
  <mergeCells count="3">
    <mergeCell ref="C2:D2"/>
    <mergeCell ref="E2:F2"/>
    <mergeCell ref="B3:W3"/>
  </mergeCells>
  <printOptions/>
  <pageMargins left="0.2361111111111111" right="0.2361111111111111" top="0.7875" bottom="0.7875" header="0.5118055555555555" footer="0.5118055555555555"/>
  <pageSetup horizontalDpi="300" verticalDpi="300" orientation="landscape" paperSize="8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6"/>
  <sheetViews>
    <sheetView workbookViewId="0" topLeftCell="A34">
      <selection activeCell="F45" sqref="F45"/>
    </sheetView>
  </sheetViews>
  <sheetFormatPr defaultColWidth="12.57421875" defaultRowHeight="12.75"/>
  <cols>
    <col min="1" max="1" width="41.421875" style="0" customWidth="1"/>
    <col min="2" max="2" width="15.57421875" style="0" customWidth="1"/>
    <col min="3" max="3" width="16.00390625" style="0" customWidth="1"/>
    <col min="4" max="4" width="14.28125" style="0" customWidth="1"/>
    <col min="5" max="5" width="16.00390625" style="0" customWidth="1"/>
    <col min="6" max="6" width="15.00390625" style="0" customWidth="1"/>
    <col min="7" max="13" width="14.28125" style="0" customWidth="1"/>
    <col min="14" max="14" width="15.8515625" style="0" customWidth="1"/>
    <col min="15" max="15" width="14.28125" style="0" customWidth="1"/>
    <col min="16" max="22" width="14.57421875" style="0" customWidth="1"/>
    <col min="23" max="23" width="15.7109375" style="0" customWidth="1"/>
    <col min="24" max="24" width="16.57421875" style="0" customWidth="1"/>
    <col min="25" max="25" width="16.421875" style="0" customWidth="1"/>
    <col min="26" max="26" width="14.7109375" style="0" customWidth="1"/>
    <col min="27" max="27" width="18.28125" style="0" customWidth="1"/>
    <col min="28" max="28" width="18.421875" style="0" customWidth="1"/>
    <col min="29" max="16384" width="11.57421875" style="0" customWidth="1"/>
  </cols>
  <sheetData>
    <row r="1" spans="1:26" ht="13.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3" t="s">
        <v>61</v>
      </c>
      <c r="Y1" s="53"/>
      <c r="Z1" s="53"/>
    </row>
    <row r="2" spans="1:26" ht="13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3" t="str">
        <f>zał3!J2</f>
        <v>Do Zarządzenia Nr </v>
      </c>
      <c r="Y2" s="54" t="str">
        <f>zał3!K2</f>
        <v>471/VII/2012</v>
      </c>
      <c r="Z2" s="54"/>
    </row>
    <row r="3" spans="1:26" ht="13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3" t="str">
        <f>zał3!J3</f>
        <v>Burmistrza Gołdapi</v>
      </c>
      <c r="Y3" s="53"/>
      <c r="Z3" s="53"/>
    </row>
    <row r="4" spans="1:26" ht="10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3" t="str">
        <f>zał3!J4</f>
        <v>z dnia  26 lipca 2012r.</v>
      </c>
      <c r="Y4" s="53"/>
      <c r="Z4" s="53"/>
    </row>
    <row r="5" spans="1:26" ht="9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4"/>
      <c r="Z5" s="54"/>
    </row>
    <row r="6" spans="1:27" ht="21" customHeight="1">
      <c r="A6" s="55" t="s">
        <v>62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 t="s">
        <v>63</v>
      </c>
      <c r="Z6" s="55"/>
      <c r="AA6" t="s">
        <v>64</v>
      </c>
    </row>
    <row r="7" spans="1:26" ht="24.75">
      <c r="A7" s="56"/>
      <c r="B7" s="57" t="s">
        <v>65</v>
      </c>
      <c r="C7" s="57" t="s">
        <v>66</v>
      </c>
      <c r="D7" s="57" t="s">
        <v>67</v>
      </c>
      <c r="E7" s="57" t="s">
        <v>68</v>
      </c>
      <c r="F7" s="58" t="s">
        <v>69</v>
      </c>
      <c r="G7" s="57" t="s">
        <v>70</v>
      </c>
      <c r="H7" s="57" t="s">
        <v>71</v>
      </c>
      <c r="I7" s="57" t="s">
        <v>72</v>
      </c>
      <c r="J7" s="57" t="s">
        <v>73</v>
      </c>
      <c r="K7" s="57" t="s">
        <v>74</v>
      </c>
      <c r="L7" s="57" t="s">
        <v>75</v>
      </c>
      <c r="M7" s="57" t="s">
        <v>76</v>
      </c>
      <c r="N7" s="57" t="s">
        <v>77</v>
      </c>
      <c r="O7" s="57" t="s">
        <v>78</v>
      </c>
      <c r="P7" s="57" t="s">
        <v>79</v>
      </c>
      <c r="Q7" s="57" t="s">
        <v>80</v>
      </c>
      <c r="R7" s="57" t="s">
        <v>81</v>
      </c>
      <c r="S7" s="57" t="s">
        <v>82</v>
      </c>
      <c r="T7" s="57" t="s">
        <v>83</v>
      </c>
      <c r="U7" s="57" t="s">
        <v>84</v>
      </c>
      <c r="V7" s="57" t="s">
        <v>85</v>
      </c>
      <c r="W7" s="57" t="s">
        <v>86</v>
      </c>
      <c r="X7" s="57" t="s">
        <v>87</v>
      </c>
      <c r="Y7" s="57" t="s">
        <v>88</v>
      </c>
      <c r="Z7" s="57" t="s">
        <v>89</v>
      </c>
    </row>
    <row r="8" spans="1:26" ht="24.75" customHeight="1">
      <c r="A8" s="59" t="s">
        <v>90</v>
      </c>
      <c r="B8" s="60">
        <f>B9+B10</f>
        <v>56602913</v>
      </c>
      <c r="C8" s="60">
        <f>C9+C10</f>
        <v>65638462</v>
      </c>
      <c r="D8" s="60">
        <f>D9+D10</f>
        <v>76066696.03</v>
      </c>
      <c r="E8" s="61">
        <v>72674133.27</v>
      </c>
      <c r="F8" s="60">
        <f>F9+F10</f>
        <v>89920637.13</v>
      </c>
      <c r="G8" s="60">
        <f>G9+G10</f>
        <v>70107213.24003</v>
      </c>
      <c r="H8" s="60">
        <f>H9+H10</f>
        <v>67528175.64647093</v>
      </c>
      <c r="I8" s="60">
        <f>I9+I10</f>
        <v>69617908.40751153</v>
      </c>
      <c r="J8" s="60">
        <f>J9+J10</f>
        <v>71772313.66362439</v>
      </c>
      <c r="K8" s="60">
        <f>K9+K10</f>
        <v>73993392.98554115</v>
      </c>
      <c r="L8" s="60">
        <f>L9+L10</f>
        <v>76283209.89438766</v>
      </c>
      <c r="M8" s="60">
        <f>M9+M10</f>
        <v>78643891.77919726</v>
      </c>
      <c r="N8" s="60">
        <f>N9+N10</f>
        <v>81077631.87377845</v>
      </c>
      <c r="O8" s="60">
        <f>O9+O10</f>
        <v>83586691.29477446</v>
      </c>
      <c r="P8" s="60">
        <f>P9+P10</f>
        <v>86173401.14280859</v>
      </c>
      <c r="Q8" s="60">
        <f>Q9+Q10</f>
        <v>88840164.66866866</v>
      </c>
      <c r="R8" s="60">
        <f>R9+R10</f>
        <v>91589459.50654338</v>
      </c>
      <c r="S8" s="60">
        <f>S9+S10</f>
        <v>94423839.97638662</v>
      </c>
      <c r="T8" s="60">
        <f>T9+T10</f>
        <v>97345939.4575492</v>
      </c>
      <c r="U8" s="60">
        <f>U9+U10</f>
        <v>100358472.83588466</v>
      </c>
      <c r="V8" s="60">
        <f>V9+V10</f>
        <v>103464239.02660306</v>
      </c>
      <c r="W8" s="60">
        <f>W9+W10</f>
        <v>106666123.5752179</v>
      </c>
      <c r="X8" s="60">
        <f>X9+X10</f>
        <v>109967101.33900353</v>
      </c>
      <c r="Y8" s="60">
        <f>Y9+Y10</f>
        <v>113370239.25145511</v>
      </c>
      <c r="Z8" s="60">
        <f>Z9+Z10</f>
        <v>116878699.17232098</v>
      </c>
    </row>
    <row r="9" spans="1:26" ht="23.25" customHeight="1">
      <c r="A9" s="62" t="s">
        <v>91</v>
      </c>
      <c r="B9" s="63">
        <v>48236781</v>
      </c>
      <c r="C9" s="63">
        <v>54877794</v>
      </c>
      <c r="D9" s="64">
        <v>59404315.82</v>
      </c>
      <c r="E9" s="63">
        <v>61924678.14</v>
      </c>
      <c r="F9" s="63">
        <f>57504361+18960+31000+3350-537098+153002+474879.61+73968+308810+29950+26200+1964162.52+51781</f>
        <v>60103326.13</v>
      </c>
      <c r="G9" s="65">
        <f>SUM(F9+0.031*F9)</f>
        <v>61966529.240030006</v>
      </c>
      <c r="H9" s="65">
        <f>SUM(G9+0.031*G9)</f>
        <v>63887491.646470934</v>
      </c>
      <c r="I9" s="65">
        <f>SUM(H9+0.031*H9)</f>
        <v>65868003.88751154</v>
      </c>
      <c r="J9" s="65">
        <f>SUM(I9+0.031*I9)</f>
        <v>67909912.0080244</v>
      </c>
      <c r="K9" s="65">
        <f>SUM(J9+0.031*J9)</f>
        <v>70015119.28027315</v>
      </c>
      <c r="L9" s="65">
        <f>SUM(K9+0.031*K9)</f>
        <v>72185587.97796163</v>
      </c>
      <c r="M9" s="65">
        <f>SUM(L9+0.031*L9)</f>
        <v>74423341.20527844</v>
      </c>
      <c r="N9" s="65">
        <f>SUM(M9+0.031*M9)</f>
        <v>76730464.78264207</v>
      </c>
      <c r="O9" s="65">
        <f>SUM(N9+0.031*N9)</f>
        <v>79109109.19090398</v>
      </c>
      <c r="P9" s="65">
        <f>SUM(O9+0.031*O9)</f>
        <v>81561491.575822</v>
      </c>
      <c r="Q9" s="65">
        <f>SUM(P9+0.031*P9)</f>
        <v>84089897.81467247</v>
      </c>
      <c r="R9" s="65">
        <f>SUM(Q9+0.031*Q9)</f>
        <v>86696684.64692731</v>
      </c>
      <c r="S9" s="65">
        <f>SUM(R9+0.031*R9)</f>
        <v>89384281.87098207</v>
      </c>
      <c r="T9" s="65">
        <f>SUM(S9+0.031*S9)</f>
        <v>92155194.6089825</v>
      </c>
      <c r="U9" s="65">
        <f>SUM(T9+0.031*T9)</f>
        <v>95012005.64186096</v>
      </c>
      <c r="V9" s="65">
        <f>SUM(U9+0.031*U9)</f>
        <v>97957377.81675865</v>
      </c>
      <c r="W9" s="65">
        <f>SUM(V9+0.031*V9)</f>
        <v>100994056.52907817</v>
      </c>
      <c r="X9" s="65">
        <f>SUM(W9+0.031*W9)</f>
        <v>104124872.2814796</v>
      </c>
      <c r="Y9" s="65">
        <f>SUM(X9+0.031*X9)</f>
        <v>107352743.32220547</v>
      </c>
      <c r="Z9" s="65">
        <f>SUM(Y9+0.031*Y9)</f>
        <v>110680678.36519384</v>
      </c>
    </row>
    <row r="10" spans="1:26" ht="20.25" customHeight="1">
      <c r="A10" s="62" t="s">
        <v>92</v>
      </c>
      <c r="B10" s="63">
        <v>8366132</v>
      </c>
      <c r="C10" s="63">
        <v>10760668</v>
      </c>
      <c r="D10" s="64">
        <v>16662380.21</v>
      </c>
      <c r="E10" s="63">
        <v>10749455.13</v>
      </c>
      <c r="F10" s="63">
        <f>22611884+20300+8063282-878155</f>
        <v>29817311</v>
      </c>
      <c r="G10" s="63">
        <f>8140684</f>
        <v>8140684</v>
      </c>
      <c r="H10" s="63">
        <v>3640684</v>
      </c>
      <c r="I10" s="65">
        <f>SUM(H10+0.03*H10)</f>
        <v>3749904.52</v>
      </c>
      <c r="J10" s="65">
        <f>SUM(I10+0.03*I10)</f>
        <v>3862401.6556</v>
      </c>
      <c r="K10" s="65">
        <f>SUM(J10+0.03*J10)</f>
        <v>3978273.7052680003</v>
      </c>
      <c r="L10" s="65">
        <f>SUM(K10+0.03*K10)</f>
        <v>4097621.91642604</v>
      </c>
      <c r="M10" s="65">
        <f>SUM(L10+0.03*L10)</f>
        <v>4220550.573918821</v>
      </c>
      <c r="N10" s="65">
        <f>SUM(M10+0.03*M10)</f>
        <v>4347167.091136386</v>
      </c>
      <c r="O10" s="65">
        <f>SUM(N10+0.03*N10)</f>
        <v>4477582.1038704775</v>
      </c>
      <c r="P10" s="65">
        <f>SUM(O10+0.03*O10)</f>
        <v>4611909.566986592</v>
      </c>
      <c r="Q10" s="65">
        <f>SUM(P10+0.03*P10)</f>
        <v>4750266.853996189</v>
      </c>
      <c r="R10" s="65">
        <f>SUM(Q10+0.03*Q10)</f>
        <v>4892774.859616075</v>
      </c>
      <c r="S10" s="65">
        <f>SUM(R10+0.03*R10)</f>
        <v>5039558.105404557</v>
      </c>
      <c r="T10" s="65">
        <f>SUM(S10+0.03*S10)</f>
        <v>5190744.848566693</v>
      </c>
      <c r="U10" s="65">
        <f>SUM(T10+0.03*T10)</f>
        <v>5346467.194023694</v>
      </c>
      <c r="V10" s="65">
        <f>SUM(U10+0.03*U10)</f>
        <v>5506861.209844405</v>
      </c>
      <c r="W10" s="65">
        <f>SUM(V10+0.03*V10)</f>
        <v>5672067.046139737</v>
      </c>
      <c r="X10" s="65">
        <f>SUM(W10+0.03*W10)</f>
        <v>5842229.057523929</v>
      </c>
      <c r="Y10" s="65">
        <f>SUM(X10+0.03*X10)</f>
        <v>6017495.929249646</v>
      </c>
      <c r="Z10" s="65">
        <f>SUM(Y10+0.03*Y10)</f>
        <v>6198020.807127136</v>
      </c>
    </row>
    <row r="11" spans="1:26" ht="20.25" customHeight="1">
      <c r="A11" s="62" t="s">
        <v>93</v>
      </c>
      <c r="B11" s="63">
        <v>2943102</v>
      </c>
      <c r="C11" s="63">
        <v>1702924</v>
      </c>
      <c r="D11" s="66">
        <v>1908591.03</v>
      </c>
      <c r="E11" s="63">
        <v>1643757.32</v>
      </c>
      <c r="F11" s="63">
        <f>4830000+1080000</f>
        <v>5910000</v>
      </c>
      <c r="G11" s="63">
        <f>6000000</f>
        <v>6000000</v>
      </c>
      <c r="H11" s="63">
        <v>1500000</v>
      </c>
      <c r="I11" s="65">
        <f>SUM(H11+0.03*H11)</f>
        <v>1545000</v>
      </c>
      <c r="J11" s="65">
        <f>SUM(I11+0.03*I11)</f>
        <v>1591350</v>
      </c>
      <c r="K11" s="65">
        <f>SUM(J11+0.03*J11)</f>
        <v>1639090.5</v>
      </c>
      <c r="L11" s="65">
        <f>SUM(K11+0.03*K11)</f>
        <v>1688263.215</v>
      </c>
      <c r="M11" s="65">
        <f>SUM(L11+0.03*L11)</f>
        <v>1738911.1114500002</v>
      </c>
      <c r="N11" s="65">
        <f>SUM(M11+0.03*M11)</f>
        <v>1791078.4447935002</v>
      </c>
      <c r="O11" s="65">
        <f>SUM(N11+0.03*N11)</f>
        <v>1844810.7981373053</v>
      </c>
      <c r="P11" s="65">
        <f>SUM(O11+0.03*O11)</f>
        <v>1900155.1220814246</v>
      </c>
      <c r="Q11" s="65">
        <f>SUM(P11+0.03*P11)</f>
        <v>1957159.7757438673</v>
      </c>
      <c r="R11" s="65">
        <f>SUM(Q11+0.03*Q11)</f>
        <v>2015874.5690161833</v>
      </c>
      <c r="S11" s="65">
        <f>SUM(R11+0.03*R11)</f>
        <v>2076350.8060866687</v>
      </c>
      <c r="T11" s="65">
        <f>SUM(S11+0.03*S11)</f>
        <v>2138641.3302692687</v>
      </c>
      <c r="U11" s="65">
        <f>SUM(T11+0.03*T11)</f>
        <v>2202800.570177347</v>
      </c>
      <c r="V11" s="65">
        <f>SUM(U11+0.03*U11)</f>
        <v>2268884.5872826674</v>
      </c>
      <c r="W11" s="65">
        <f>SUM(V11+0.03*V11)</f>
        <v>2336951.1249011476</v>
      </c>
      <c r="X11" s="65">
        <f>SUM(W11+0.03*W11)</f>
        <v>2407059.658648182</v>
      </c>
      <c r="Y11" s="65">
        <f>SUM(X11+0.03*X11)</f>
        <v>2479271.4484076276</v>
      </c>
      <c r="Z11" s="65">
        <f>SUM(Y11+0.03*Y11)</f>
        <v>2553649.5918598566</v>
      </c>
    </row>
    <row r="12" spans="1:26" ht="21.75" customHeight="1">
      <c r="A12" s="59" t="s">
        <v>94</v>
      </c>
      <c r="B12" s="60">
        <f>B13+B14</f>
        <v>64898002</v>
      </c>
      <c r="C12" s="60">
        <f>C13+C14</f>
        <v>71336733</v>
      </c>
      <c r="D12" s="60">
        <f>D13+D14</f>
        <v>82713065.63</v>
      </c>
      <c r="E12" s="60">
        <f>E13+E14</f>
        <v>80446015.95</v>
      </c>
      <c r="F12" s="60">
        <f>F13+F14</f>
        <v>91724402.13</v>
      </c>
      <c r="G12" s="60">
        <f>G13+G14</f>
        <v>55981527</v>
      </c>
      <c r="H12" s="60">
        <f>H13+H14</f>
        <v>55064299</v>
      </c>
      <c r="I12" s="60">
        <f>I13+I14</f>
        <v>56641227.97</v>
      </c>
      <c r="J12" s="60">
        <f>J13+J14</f>
        <v>58340464.8091</v>
      </c>
      <c r="K12" s="60">
        <f>K13+K14</f>
        <v>60090678.753373004</v>
      </c>
      <c r="L12" s="60">
        <f>L13+L14</f>
        <v>61893399.115974195</v>
      </c>
      <c r="M12" s="60">
        <f>M13+M14</f>
        <v>63750201.08945342</v>
      </c>
      <c r="N12" s="60">
        <f>N13+N14</f>
        <v>65662707.122137025</v>
      </c>
      <c r="O12" s="60">
        <f>O13+O14</f>
        <v>67632588.33580114</v>
      </c>
      <c r="P12" s="60">
        <f>P13+P14</f>
        <v>69661565.98587517</v>
      </c>
      <c r="Q12" s="60">
        <f>Q13+Q14</f>
        <v>71751412.96545142</v>
      </c>
      <c r="R12" s="60">
        <f>R13+R14</f>
        <v>73903955.35441495</v>
      </c>
      <c r="S12" s="60">
        <f>S13+S14</f>
        <v>76121074.01504742</v>
      </c>
      <c r="T12" s="60">
        <f>T13+T14</f>
        <v>78404706.23549883</v>
      </c>
      <c r="U12" s="60">
        <f>U13+U14</f>
        <v>80756847.42256379</v>
      </c>
      <c r="V12" s="60">
        <f>V13+V14</f>
        <v>83179552.84524071</v>
      </c>
      <c r="W12" s="60">
        <f>W13+W14</f>
        <v>85674939.43059793</v>
      </c>
      <c r="X12" s="60">
        <f>X13+X14</f>
        <v>88245187.61351587</v>
      </c>
      <c r="Y12" s="60">
        <f>Y13+Y14</f>
        <v>90892543.24192135</v>
      </c>
      <c r="Z12" s="60">
        <f>Z13+Z14</f>
        <v>93619319.53917898</v>
      </c>
    </row>
    <row r="13" spans="1:26" ht="25.5" customHeight="1">
      <c r="A13" s="62" t="s">
        <v>95</v>
      </c>
      <c r="B13" s="63">
        <v>46152445</v>
      </c>
      <c r="C13" s="63">
        <v>51664524</v>
      </c>
      <c r="D13" s="64">
        <v>54479628.2</v>
      </c>
      <c r="E13" s="63">
        <v>54856635.79</v>
      </c>
      <c r="F13" s="63">
        <f>58793501+18960+31000+3350-537098+138902+474879.61+308810+1109950+26200+51781</f>
        <v>60420235.61</v>
      </c>
      <c r="G13" s="63">
        <f>50683300+350000</f>
        <v>51033300</v>
      </c>
      <c r="H13" s="65">
        <f>SUM(G13+0.03*G13)</f>
        <v>52564299</v>
      </c>
      <c r="I13" s="65">
        <f>SUM(H13+0.03*H13)</f>
        <v>54141227.97</v>
      </c>
      <c r="J13" s="65">
        <f>SUM(I13+0.03*I13)</f>
        <v>55765464.8091</v>
      </c>
      <c r="K13" s="65">
        <f>SUM(J13+0.03*J13)</f>
        <v>57438428.753373004</v>
      </c>
      <c r="L13" s="65">
        <f>SUM(K13+0.03*K13)</f>
        <v>59161581.615974195</v>
      </c>
      <c r="M13" s="65">
        <f>SUM(L13+0.03*L13)</f>
        <v>60936429.06445342</v>
      </c>
      <c r="N13" s="65">
        <f>SUM(M13+0.03*M13)</f>
        <v>62764521.936387025</v>
      </c>
      <c r="O13" s="65">
        <f>SUM(N13+0.03*N13)</f>
        <v>64647457.59447864</v>
      </c>
      <c r="P13" s="65">
        <f>SUM(O13+0.03*O13)</f>
        <v>66586881.322312996</v>
      </c>
      <c r="Q13" s="65">
        <f>SUM(P13+0.03*P13)</f>
        <v>68584487.76198238</v>
      </c>
      <c r="R13" s="65">
        <f>SUM(Q13+0.03*Q13)</f>
        <v>70642022.39484185</v>
      </c>
      <c r="S13" s="65">
        <f>SUM(R13+0.03*R13)</f>
        <v>72761283.0666871</v>
      </c>
      <c r="T13" s="65">
        <f>SUM(S13+0.03*S13)</f>
        <v>74944121.55868772</v>
      </c>
      <c r="U13" s="65">
        <f>SUM(T13+0.03*T13)</f>
        <v>77192445.20544834</v>
      </c>
      <c r="V13" s="65">
        <f>SUM(U13+0.03*U13)</f>
        <v>79508218.5616118</v>
      </c>
      <c r="W13" s="65">
        <f>SUM(V13+0.03*V13)</f>
        <v>81893465.11846015</v>
      </c>
      <c r="X13" s="65">
        <f>SUM(W13+0.03*W13)</f>
        <v>84350269.07201396</v>
      </c>
      <c r="Y13" s="65">
        <f>SUM(X13+0.03*X13)</f>
        <v>86880777.14417438</v>
      </c>
      <c r="Z13" s="65">
        <f>SUM(Y13+0.03*Y13)</f>
        <v>89487200.45849961</v>
      </c>
    </row>
    <row r="14" spans="1:26" ht="21" customHeight="1">
      <c r="A14" s="62" t="s">
        <v>96</v>
      </c>
      <c r="B14" s="63">
        <v>18745557</v>
      </c>
      <c r="C14" s="63">
        <v>19672209</v>
      </c>
      <c r="D14" s="64">
        <v>28233437.43</v>
      </c>
      <c r="E14" s="63">
        <v>25589380.16</v>
      </c>
      <c r="F14" s="63">
        <f>24365571+34400+6898188-1958155+1964162.52</f>
        <v>31304166.52</v>
      </c>
      <c r="G14" s="65">
        <f>zał3!I13+1000000</f>
        <v>4948227</v>
      </c>
      <c r="H14" s="65">
        <f>zał3!J13+1000000</f>
        <v>2500000</v>
      </c>
      <c r="I14" s="65">
        <f>zał3!K13+1000000</f>
        <v>2500000</v>
      </c>
      <c r="J14" s="65">
        <f>SUM(I14+0.03*I14)</f>
        <v>2575000</v>
      </c>
      <c r="K14" s="65">
        <f>SUM(J14+0.03*J14)</f>
        <v>2652250</v>
      </c>
      <c r="L14" s="65">
        <f>SUM(K14+0.03*K14)</f>
        <v>2731817.5</v>
      </c>
      <c r="M14" s="65">
        <f>SUM(L14+0.03*L14)</f>
        <v>2813772.025</v>
      </c>
      <c r="N14" s="65">
        <f>SUM(M14+0.03*M14)</f>
        <v>2898185.1857499997</v>
      </c>
      <c r="O14" s="65">
        <f>SUM(N14+0.03*N14)</f>
        <v>2985130.7413224997</v>
      </c>
      <c r="P14" s="65">
        <f>SUM(O14+0.03*O14)</f>
        <v>3074684.663562175</v>
      </c>
      <c r="Q14" s="65">
        <f>SUM(P14+0.03*P14)</f>
        <v>3166925.2034690403</v>
      </c>
      <c r="R14" s="65">
        <f>SUM(Q14+0.03*Q14)</f>
        <v>3261932.9595731115</v>
      </c>
      <c r="S14" s="65">
        <f>SUM(R14+0.03*R14)</f>
        <v>3359790.948360305</v>
      </c>
      <c r="T14" s="65">
        <f>SUM(S14+0.03*S14)</f>
        <v>3460584.676811114</v>
      </c>
      <c r="U14" s="65">
        <f>SUM(T14+0.03*T14)</f>
        <v>3564402.2171154474</v>
      </c>
      <c r="V14" s="65">
        <f>SUM(U14+0.03*U14)</f>
        <v>3671334.283628911</v>
      </c>
      <c r="W14" s="65">
        <f>SUM(V14+0.03*V14)</f>
        <v>3781474.312137778</v>
      </c>
      <c r="X14" s="65">
        <f>SUM(W14+0.03*W14)</f>
        <v>3894918.5415019114</v>
      </c>
      <c r="Y14" s="65">
        <f>SUM(X14+0.03*X14)</f>
        <v>4011766.0977469687</v>
      </c>
      <c r="Z14" s="65">
        <f>SUM(Y14+0.03*Y14)</f>
        <v>4132119.080679378</v>
      </c>
    </row>
    <row r="15" spans="1:26" ht="21.75" customHeight="1">
      <c r="A15" s="59" t="s">
        <v>97</v>
      </c>
      <c r="B15" s="60">
        <f>B8-B12</f>
        <v>-8295089</v>
      </c>
      <c r="C15" s="60">
        <f>C8-C12</f>
        <v>-5698271</v>
      </c>
      <c r="D15" s="60">
        <f>D8-D12</f>
        <v>-6646369.599999994</v>
      </c>
      <c r="E15" s="60">
        <f>E8-E12</f>
        <v>-7771882.680000007</v>
      </c>
      <c r="F15" s="60">
        <f>F8-F12</f>
        <v>-1803765</v>
      </c>
      <c r="G15" s="60">
        <f>G8-G12</f>
        <v>14125686.240030006</v>
      </c>
      <c r="H15" s="60">
        <f>H8-H12</f>
        <v>12463876.646470934</v>
      </c>
      <c r="I15" s="60">
        <f>I8-I12</f>
        <v>12976680.437511533</v>
      </c>
      <c r="J15" s="60">
        <f>J8-J12</f>
        <v>13431848.854524389</v>
      </c>
      <c r="K15" s="60">
        <f>K8-K12</f>
        <v>13902714.232168145</v>
      </c>
      <c r="L15" s="60">
        <f>L8-L12</f>
        <v>14389810.778413467</v>
      </c>
      <c r="M15" s="60">
        <f>M8-M12</f>
        <v>14893690.68974384</v>
      </c>
      <c r="N15" s="60">
        <f>N8-N12</f>
        <v>15414924.751641423</v>
      </c>
      <c r="O15" s="60">
        <f>O8-O12</f>
        <v>15954102.958973318</v>
      </c>
      <c r="P15" s="60">
        <f>P8-P12</f>
        <v>16511835.156933412</v>
      </c>
      <c r="Q15" s="60">
        <f>Q8-Q12</f>
        <v>17088751.70321724</v>
      </c>
      <c r="R15" s="60">
        <f>R8-R12</f>
        <v>17685504.15212843</v>
      </c>
      <c r="S15" s="60">
        <f>S8-S12</f>
        <v>18302765.961339206</v>
      </c>
      <c r="T15" s="60">
        <f>T8-T12</f>
        <v>18941233.22205037</v>
      </c>
      <c r="U15" s="60">
        <f>U8-U12</f>
        <v>19601625.41332087</v>
      </c>
      <c r="V15" s="60">
        <f>V8-V12</f>
        <v>20284686.181362346</v>
      </c>
      <c r="W15" s="60">
        <f>W8-W12</f>
        <v>20991184.14461997</v>
      </c>
      <c r="X15" s="60">
        <f>X8-X12</f>
        <v>21721913.725487664</v>
      </c>
      <c r="Y15" s="60">
        <f>Y8-Y12</f>
        <v>22477696.009533763</v>
      </c>
      <c r="Z15" s="60">
        <f>Z8-Z12</f>
        <v>23259379.633141994</v>
      </c>
    </row>
    <row r="16" spans="1:26" ht="24" customHeight="1">
      <c r="A16" s="59" t="s">
        <v>98</v>
      </c>
      <c r="B16" s="60">
        <f>B17-B27</f>
        <v>12402721</v>
      </c>
      <c r="C16" s="60">
        <f>C17-C27</f>
        <v>8941150.98</v>
      </c>
      <c r="D16" s="60">
        <f>D17-D27</f>
        <v>12450511.719999999</v>
      </c>
      <c r="E16" s="61">
        <v>8482960.68</v>
      </c>
      <c r="F16" s="60">
        <f>F17-F27</f>
        <v>1803765</v>
      </c>
      <c r="G16" s="60">
        <f>G17-G27</f>
        <v>-5104825.4345</v>
      </c>
      <c r="H16" s="60">
        <f>H17-H27</f>
        <v>-5104826.2345</v>
      </c>
      <c r="I16" s="60">
        <f>I17-I27</f>
        <v>-2702962.2345</v>
      </c>
      <c r="J16" s="60">
        <f>J17-J27</f>
        <v>-2702962.2345</v>
      </c>
      <c r="K16" s="60">
        <f>K17-K27</f>
        <v>-2702962.2345</v>
      </c>
      <c r="L16" s="60">
        <f>L17-L27</f>
        <v>-2702962.2345</v>
      </c>
      <c r="M16" s="60">
        <f>M17-M27</f>
        <v>-2702971.2345</v>
      </c>
      <c r="N16" s="60">
        <f>N17-N27</f>
        <v>-1688018.1245</v>
      </c>
      <c r="O16" s="60">
        <f>O17-O27</f>
        <v>-140539.39450000005</v>
      </c>
      <c r="P16" s="60">
        <f>P17-P27</f>
        <v>-140539.39450000005</v>
      </c>
      <c r="Q16" s="60">
        <f>Q17-Q27</f>
        <v>-140539.39450000005</v>
      </c>
      <c r="R16" s="60">
        <f>R17-R27</f>
        <v>-140539.39450000005</v>
      </c>
      <c r="S16" s="60">
        <f>S17-S27</f>
        <v>-140539.39450000005</v>
      </c>
      <c r="T16" s="60">
        <f>T17-T27</f>
        <v>-140539.39450000005</v>
      </c>
      <c r="U16" s="60">
        <f>U17-U27</f>
        <v>-140539.39450000005</v>
      </c>
      <c r="V16" s="60">
        <f>V17-V27</f>
        <v>-140539.39450000005</v>
      </c>
      <c r="W16" s="60">
        <f>W17-W27</f>
        <v>-140539.39450000005</v>
      </c>
      <c r="X16" s="60">
        <f>X17-X27</f>
        <v>-140539.39450000005</v>
      </c>
      <c r="Y16" s="60">
        <f>Y17-Y27</f>
        <v>-140551.39450000005</v>
      </c>
      <c r="Z16" s="60">
        <f>Z17-Z27</f>
        <v>331308.60549999995</v>
      </c>
    </row>
    <row r="17" spans="1:26" ht="23.25" customHeight="1">
      <c r="A17" s="59" t="s">
        <v>99</v>
      </c>
      <c r="B17" s="60">
        <f>B18+B20+B22+B23+B24+B25+B26</f>
        <v>16619580</v>
      </c>
      <c r="C17" s="60">
        <f>C18+C20+C22+C23+C24+C25+C26</f>
        <v>14873160</v>
      </c>
      <c r="D17" s="60">
        <f>D18+D20+D22+D23+D24+D25+D26</f>
        <v>18926628</v>
      </c>
      <c r="E17" s="61">
        <v>15184094.68</v>
      </c>
      <c r="F17" s="60">
        <f>F18+F20+F22+F23+F24+F25+F26</f>
        <v>9084905.89</v>
      </c>
      <c r="G17" s="60">
        <f>G18+G20+G22+G23+G24+G25+G26</f>
        <v>750000</v>
      </c>
      <c r="H17" s="60">
        <f>H18+H20+H22+H23+H24+H25+H26</f>
        <v>750000</v>
      </c>
      <c r="I17" s="60">
        <f>I18+I20+I22+I23+I24+I25+I26</f>
        <v>750000</v>
      </c>
      <c r="J17" s="60">
        <f>J18+J20+J22+J23+J24+J25+J26</f>
        <v>750000</v>
      </c>
      <c r="K17" s="60">
        <f>K18+K20+K22+K23+K24+K25+K26</f>
        <v>750000</v>
      </c>
      <c r="L17" s="60">
        <f>L18+L20+L22+L23+L24+L25+L26</f>
        <v>750000</v>
      </c>
      <c r="M17" s="60">
        <f>M18+M20+M22+M23+M24+M25+M26</f>
        <v>750000</v>
      </c>
      <c r="N17" s="60">
        <f>N18+N20+N22+N23+N24+N25+N26</f>
        <v>750000</v>
      </c>
      <c r="O17" s="60">
        <f>O18+O20+O22+O23+O24+O25+O26</f>
        <v>750000</v>
      </c>
      <c r="P17" s="60">
        <f>P18+P20+P22+P23+P24+P25+P26</f>
        <v>750000</v>
      </c>
      <c r="Q17" s="60">
        <f>Q18+Q20+Q22+Q23+Q24+Q25+Q26</f>
        <v>750000</v>
      </c>
      <c r="R17" s="60">
        <f>R18+R20+R22+R23+R24+R25+R26</f>
        <v>750000</v>
      </c>
      <c r="S17" s="60">
        <f>S18+S20+S22+S23+S24+S25+S26</f>
        <v>750000</v>
      </c>
      <c r="T17" s="60">
        <f>T18+T20+T22+T23+T24+T25+T26</f>
        <v>750000</v>
      </c>
      <c r="U17" s="60">
        <f>U18+U20+U22+U23+U24+U25+U26</f>
        <v>750000</v>
      </c>
      <c r="V17" s="60">
        <f>V18+V20+V22+V23+V24+V25+V26</f>
        <v>750000</v>
      </c>
      <c r="W17" s="60">
        <f>W18+W20+W22+W23+W24+W25+W26</f>
        <v>750000</v>
      </c>
      <c r="X17" s="60">
        <f>X18+X20+X22+X23+X24+X25+X26</f>
        <v>750000</v>
      </c>
      <c r="Y17" s="60">
        <f>Y18+Y20+Y22+Y23+Y24+Y25+Y26</f>
        <v>750000</v>
      </c>
      <c r="Z17" s="60">
        <f>Z18+Z20+Z22+Z23+Z24+Z25+Z26</f>
        <v>750000</v>
      </c>
    </row>
    <row r="18" spans="1:26" ht="27" customHeight="1">
      <c r="A18" s="62" t="s">
        <v>100</v>
      </c>
      <c r="B18" s="63">
        <v>14411180</v>
      </c>
      <c r="C18" s="63">
        <v>10425160</v>
      </c>
      <c r="D18" s="63">
        <v>15861658</v>
      </c>
      <c r="E18" s="63">
        <v>9201048</v>
      </c>
      <c r="F18" s="67">
        <f>SUM(-F15+F28-F25)</f>
        <v>8373827.890000001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</row>
    <row r="19" spans="1:26" ht="40.5" customHeight="1">
      <c r="A19" s="62" t="s">
        <v>101</v>
      </c>
      <c r="B19" s="63">
        <v>1342298</v>
      </c>
      <c r="C19" s="63">
        <v>4292903</v>
      </c>
      <c r="D19" s="63">
        <v>3134809</v>
      </c>
      <c r="E19" s="63">
        <v>1466212</v>
      </c>
      <c r="F19" s="63">
        <v>2632687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</row>
    <row r="20" spans="1:26" ht="25.5" customHeight="1">
      <c r="A20" s="62" t="s">
        <v>102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</row>
    <row r="21" spans="1:26" ht="37.5" customHeight="1">
      <c r="A21" s="62" t="s">
        <v>103</v>
      </c>
      <c r="B21" s="68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</row>
    <row r="22" spans="1:26" ht="23.25" customHeight="1">
      <c r="A22" s="62" t="s">
        <v>104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</row>
    <row r="23" spans="1:26" ht="21.75" customHeight="1">
      <c r="A23" s="62" t="s">
        <v>105</v>
      </c>
      <c r="B23" s="68">
        <v>0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</row>
    <row r="24" spans="1:26" ht="23.25" customHeight="1">
      <c r="A24" s="62" t="s">
        <v>106</v>
      </c>
      <c r="B24" s="68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</row>
    <row r="25" spans="1:26" ht="23.25" customHeight="1">
      <c r="A25" s="62" t="s">
        <v>107</v>
      </c>
      <c r="B25" s="63">
        <v>2208400</v>
      </c>
      <c r="C25" s="63">
        <v>4448000</v>
      </c>
      <c r="D25" s="63">
        <v>3064970</v>
      </c>
      <c r="E25" s="63">
        <v>5983046.68</v>
      </c>
      <c r="F25" s="63">
        <v>711078</v>
      </c>
      <c r="G25" s="63">
        <v>750000</v>
      </c>
      <c r="H25" s="63">
        <v>750000</v>
      </c>
      <c r="I25" s="63">
        <v>750000</v>
      </c>
      <c r="J25" s="63">
        <v>750000</v>
      </c>
      <c r="K25" s="63">
        <v>750000</v>
      </c>
      <c r="L25" s="63">
        <v>750000</v>
      </c>
      <c r="M25" s="63">
        <v>750000</v>
      </c>
      <c r="N25" s="63">
        <v>750000</v>
      </c>
      <c r="O25" s="63">
        <v>750000</v>
      </c>
      <c r="P25" s="63">
        <v>750000</v>
      </c>
      <c r="Q25" s="63">
        <v>750000</v>
      </c>
      <c r="R25" s="63">
        <v>750000</v>
      </c>
      <c r="S25" s="63">
        <v>750000</v>
      </c>
      <c r="T25" s="63">
        <v>750000</v>
      </c>
      <c r="U25" s="63">
        <v>750000</v>
      </c>
      <c r="V25" s="63">
        <v>750000</v>
      </c>
      <c r="W25" s="63">
        <v>750000</v>
      </c>
      <c r="X25" s="63">
        <v>750000</v>
      </c>
      <c r="Y25" s="63">
        <v>750000</v>
      </c>
      <c r="Z25" s="63">
        <v>750000</v>
      </c>
    </row>
    <row r="26" spans="1:26" ht="24.75" customHeight="1">
      <c r="A26" s="62" t="s">
        <v>108</v>
      </c>
      <c r="B26" s="68">
        <v>0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</row>
    <row r="27" spans="1:26" ht="20.25" customHeight="1">
      <c r="A27" s="59" t="s">
        <v>109</v>
      </c>
      <c r="B27" s="60">
        <f>B28+B30+B32+B33</f>
        <v>4216859</v>
      </c>
      <c r="C27" s="60">
        <f>C28+C30+C32+C33</f>
        <v>5932009.02</v>
      </c>
      <c r="D27" s="60">
        <f>D28+D30+D32+D33</f>
        <v>6476116.28</v>
      </c>
      <c r="E27" s="61">
        <v>6701134</v>
      </c>
      <c r="F27" s="60">
        <f>F28+F30+F32+F33</f>
        <v>7281140.890000001</v>
      </c>
      <c r="G27" s="60">
        <f>G28+G30+G32+G33</f>
        <v>5854825.4345</v>
      </c>
      <c r="H27" s="60">
        <f>H28+H30+H32+H33</f>
        <v>5854826.2345</v>
      </c>
      <c r="I27" s="60">
        <f>I28+I30+I32+I33</f>
        <v>3452962.2345</v>
      </c>
      <c r="J27" s="60">
        <f>J28+J30+J32+J33</f>
        <v>3452962.2345</v>
      </c>
      <c r="K27" s="60">
        <f>K28+K30+K32+K33</f>
        <v>3452962.2345</v>
      </c>
      <c r="L27" s="60">
        <f>L28+L30+L32+L33</f>
        <v>3452962.2345</v>
      </c>
      <c r="M27" s="60">
        <f>M28+M30+M32+M33</f>
        <v>3452971.2345</v>
      </c>
      <c r="N27" s="60">
        <f>N28+N30+N32+N33</f>
        <v>2438018.1245</v>
      </c>
      <c r="O27" s="60">
        <f>O28+O30+O32+O33</f>
        <v>890539.3945</v>
      </c>
      <c r="P27" s="60">
        <f>P28+P30+P32+P33</f>
        <v>890539.3945</v>
      </c>
      <c r="Q27" s="60">
        <f>Q28+Q30+Q32+Q33</f>
        <v>890539.3945</v>
      </c>
      <c r="R27" s="60">
        <f>R28+R30+R32+R33</f>
        <v>890539.3945</v>
      </c>
      <c r="S27" s="60">
        <f>S28+S30+S32+S33</f>
        <v>890539.3945</v>
      </c>
      <c r="T27" s="60">
        <f>T28+T30+T32+T33</f>
        <v>890539.3945</v>
      </c>
      <c r="U27" s="60">
        <f>U28+U30+U32+U33</f>
        <v>890539.3945</v>
      </c>
      <c r="V27" s="60">
        <f>V28+V30+V32+V33</f>
        <v>890539.3945</v>
      </c>
      <c r="W27" s="60">
        <f>W28+W30+W32+W33</f>
        <v>890539.3945</v>
      </c>
      <c r="X27" s="60">
        <f>X28+X30+X32+X33</f>
        <v>890539.3945</v>
      </c>
      <c r="Y27" s="60">
        <f>Y28+Y30+Y32+Y33</f>
        <v>890551.3945</v>
      </c>
      <c r="Z27" s="60">
        <f>Z28+Z30+Z32+Z33</f>
        <v>418691.39450000005</v>
      </c>
    </row>
    <row r="28" spans="1:27" ht="25.5" customHeight="1">
      <c r="A28" s="62" t="s">
        <v>110</v>
      </c>
      <c r="B28" s="63">
        <v>4216859</v>
      </c>
      <c r="C28" s="63">
        <v>5932009.02</v>
      </c>
      <c r="D28" s="69">
        <f>SUM(D70:D72)</f>
        <v>6476116.28</v>
      </c>
      <c r="E28" s="70">
        <v>6701134</v>
      </c>
      <c r="F28" s="69">
        <f>SUM(F70:F72)</f>
        <v>7281140.890000001</v>
      </c>
      <c r="G28" s="69">
        <f>SUM(G70:G72)</f>
        <v>5854825.4345</v>
      </c>
      <c r="H28" s="69">
        <f>SUM(H70:H72)</f>
        <v>5854826.2345</v>
      </c>
      <c r="I28" s="69">
        <f>SUM(I70:I72)</f>
        <v>3452962.2345</v>
      </c>
      <c r="J28" s="69">
        <f>SUM(J70:J72)</f>
        <v>3452962.2345</v>
      </c>
      <c r="K28" s="69">
        <f>SUM(K70:K72)</f>
        <v>3452962.2345</v>
      </c>
      <c r="L28" s="69">
        <f>SUM(L70:L72)</f>
        <v>3452962.2345</v>
      </c>
      <c r="M28" s="69">
        <f>SUM(M70:M72)</f>
        <v>3452971.2345</v>
      </c>
      <c r="N28" s="69">
        <f>SUM(N70:N72)</f>
        <v>2438018.1245</v>
      </c>
      <c r="O28" s="69">
        <f>SUM(O70:O72)</f>
        <v>890539.3945</v>
      </c>
      <c r="P28" s="69">
        <f>SUM(P70:P72)</f>
        <v>890539.3945</v>
      </c>
      <c r="Q28" s="69">
        <f>SUM(Q70:Q72)</f>
        <v>890539.3945</v>
      </c>
      <c r="R28" s="69">
        <f>SUM(R70:R72)</f>
        <v>890539.3945</v>
      </c>
      <c r="S28" s="69">
        <f>SUM(S70:S72)</f>
        <v>890539.3945</v>
      </c>
      <c r="T28" s="69">
        <f>SUM(T70:T72)</f>
        <v>890539.3945</v>
      </c>
      <c r="U28" s="69">
        <f>SUM(U70:U72)</f>
        <v>890539.3945</v>
      </c>
      <c r="V28" s="69">
        <f>SUM(V70:V72)</f>
        <v>890539.3945</v>
      </c>
      <c r="W28" s="69">
        <f>SUM(W70:W72)</f>
        <v>890539.3945</v>
      </c>
      <c r="X28" s="69">
        <f>SUM(X70:X72)</f>
        <v>890539.3945</v>
      </c>
      <c r="Y28" s="69">
        <f>SUM(Y70:Y72)</f>
        <v>890551.3945</v>
      </c>
      <c r="Z28" s="69">
        <f>SUM(Z70:Z72)</f>
        <v>418691.39450000005</v>
      </c>
      <c r="AA28" s="71"/>
    </row>
    <row r="29" spans="1:28" ht="48" customHeight="1">
      <c r="A29" s="62" t="s">
        <v>111</v>
      </c>
      <c r="B29" s="63">
        <v>1443268</v>
      </c>
      <c r="C29" s="63">
        <v>1189634</v>
      </c>
      <c r="D29" s="65">
        <f>SUM(D77:D80)</f>
        <v>1661049</v>
      </c>
      <c r="E29" s="63">
        <v>1974529.9</v>
      </c>
      <c r="F29" s="65">
        <f>SUM(F77:F80)</f>
        <v>1245956.9</v>
      </c>
      <c r="G29" s="65">
        <f>SUM(G77:G80)</f>
        <v>1215435.25</v>
      </c>
      <c r="H29" s="65">
        <f>SUM(H77:H80)</f>
        <v>1215435.25</v>
      </c>
      <c r="I29" s="65">
        <f>SUM(I77:I80)</f>
        <v>991718.25</v>
      </c>
      <c r="J29" s="65">
        <f>SUM(J77:J80)</f>
        <v>991718.25</v>
      </c>
      <c r="K29" s="65">
        <f>SUM(K77:K80)</f>
        <v>991718.25</v>
      </c>
      <c r="L29" s="65">
        <f>SUM(L77:L80)</f>
        <v>991718.25</v>
      </c>
      <c r="M29" s="65">
        <f>SUM(M77:M80)</f>
        <v>991721.25</v>
      </c>
      <c r="N29" s="65">
        <f>SUM(N77:N80)</f>
        <v>520303.25</v>
      </c>
      <c r="O29" s="65">
        <f>SUM(O77:O80)</f>
        <v>206822.35</v>
      </c>
      <c r="P29" s="65">
        <f>SUM(P77:P80)</f>
        <v>206822.35</v>
      </c>
      <c r="Q29" s="65">
        <f>SUM(Q77:Q80)</f>
        <v>206822.35</v>
      </c>
      <c r="R29" s="65">
        <f>SUM(R77:R80)</f>
        <v>206822.35</v>
      </c>
      <c r="S29" s="65">
        <f>SUM(S77:S80)</f>
        <v>206822.35</v>
      </c>
      <c r="T29" s="65">
        <f>SUM(T77:T80)</f>
        <v>206822.35</v>
      </c>
      <c r="U29" s="65">
        <f>SUM(U77:U80)</f>
        <v>206822.35</v>
      </c>
      <c r="V29" s="65">
        <f>SUM(V77:V80)</f>
        <v>206822.35</v>
      </c>
      <c r="W29" s="65">
        <f>SUM(W77:W80)</f>
        <v>206822.35</v>
      </c>
      <c r="X29" s="65">
        <f>SUM(X77:X80)</f>
        <v>206822.35</v>
      </c>
      <c r="Y29" s="65">
        <f>SUM(Y77:Y80)</f>
        <v>206868.35</v>
      </c>
      <c r="Z29" s="65">
        <f>SUM(Z77:Z80)</f>
        <v>131634.35</v>
      </c>
      <c r="AB29" s="6"/>
    </row>
    <row r="30" spans="1:26" ht="20.25" customHeight="1">
      <c r="A30" s="62" t="s">
        <v>112</v>
      </c>
      <c r="B30" s="68">
        <v>0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</row>
    <row r="31" spans="1:26" ht="48" customHeight="1">
      <c r="A31" s="62" t="s">
        <v>113</v>
      </c>
      <c r="B31" s="68">
        <v>0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</row>
    <row r="32" spans="1:26" ht="27" customHeight="1">
      <c r="A32" s="62" t="s">
        <v>114</v>
      </c>
      <c r="B32" s="68">
        <v>0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</row>
    <row r="33" spans="1:26" ht="24.75">
      <c r="A33" s="62" t="s">
        <v>115</v>
      </c>
      <c r="B33" s="68">
        <v>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</row>
    <row r="34" spans="1:28" ht="27" customHeight="1">
      <c r="A34" s="59" t="s">
        <v>116</v>
      </c>
      <c r="B34" s="68">
        <v>0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B34" t="s">
        <v>117</v>
      </c>
    </row>
    <row r="35" spans="1:26" ht="27" customHeight="1">
      <c r="A35" s="59" t="s">
        <v>118</v>
      </c>
      <c r="B35" s="72">
        <f>B36</f>
        <v>62867</v>
      </c>
      <c r="C35" s="72">
        <f>C36</f>
        <v>90829</v>
      </c>
      <c r="D35" s="72">
        <f>D36</f>
        <v>480000</v>
      </c>
      <c r="E35" s="72">
        <f>E36</f>
        <v>348000</v>
      </c>
      <c r="F35" s="72">
        <f>F36</f>
        <v>1192000</v>
      </c>
      <c r="G35" s="72">
        <f>G36</f>
        <v>1000000</v>
      </c>
      <c r="H35" s="72">
        <f>H36</f>
        <v>0</v>
      </c>
      <c r="I35" s="72">
        <f>I36</f>
        <v>0</v>
      </c>
      <c r="J35" s="72">
        <f>J36</f>
        <v>0</v>
      </c>
      <c r="K35" s="72">
        <f>K36</f>
        <v>0</v>
      </c>
      <c r="L35" s="72">
        <f>L36</f>
        <v>0</v>
      </c>
      <c r="M35" s="72">
        <f>M36</f>
        <v>0</v>
      </c>
      <c r="N35" s="72">
        <f>N36</f>
        <v>0</v>
      </c>
      <c r="O35" s="72">
        <f>O36</f>
        <v>0</v>
      </c>
      <c r="P35" s="72">
        <f>P36</f>
        <v>0</v>
      </c>
      <c r="Q35" s="72">
        <f>Q36</f>
        <v>0</v>
      </c>
      <c r="R35" s="72">
        <f>R36</f>
        <v>0</v>
      </c>
      <c r="S35" s="72">
        <f>S36</f>
        <v>0</v>
      </c>
      <c r="T35" s="72">
        <f>T36</f>
        <v>0</v>
      </c>
      <c r="U35" s="72">
        <f>U36</f>
        <v>0</v>
      </c>
      <c r="V35" s="72">
        <f>V36</f>
        <v>0</v>
      </c>
      <c r="W35" s="72">
        <f>W36</f>
        <v>0</v>
      </c>
      <c r="X35" s="72">
        <f>X36</f>
        <v>0</v>
      </c>
      <c r="Y35" s="72">
        <f>Y36</f>
        <v>0</v>
      </c>
      <c r="Z35" s="72">
        <f>Z36</f>
        <v>0</v>
      </c>
    </row>
    <row r="36" spans="1:26" ht="51.75" customHeight="1">
      <c r="A36" s="62" t="s">
        <v>119</v>
      </c>
      <c r="B36" s="63">
        <v>62867</v>
      </c>
      <c r="C36" s="63">
        <v>90829</v>
      </c>
      <c r="D36" s="63">
        <v>480000</v>
      </c>
      <c r="E36" s="63">
        <v>348000</v>
      </c>
      <c r="F36" s="63">
        <f>192000+1000000</f>
        <v>1192000</v>
      </c>
      <c r="G36" s="63">
        <v>1000000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</row>
    <row r="37" spans="1:26" ht="59.25" customHeight="1">
      <c r="A37" s="62" t="s">
        <v>120</v>
      </c>
      <c r="B37" s="73">
        <f>B36</f>
        <v>62867</v>
      </c>
      <c r="C37" s="73">
        <f>C36</f>
        <v>90829</v>
      </c>
      <c r="D37" s="73">
        <f>D36</f>
        <v>480000</v>
      </c>
      <c r="E37" s="73">
        <f>E36</f>
        <v>348000</v>
      </c>
      <c r="F37" s="73">
        <f>F36</f>
        <v>1192000</v>
      </c>
      <c r="G37" s="73">
        <f>G36</f>
        <v>1000000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</row>
    <row r="38" spans="1:26" ht="46.5" customHeight="1">
      <c r="A38" s="59" t="s">
        <v>121</v>
      </c>
      <c r="B38" s="60">
        <f>B39+B40+B41+B42+B43+B44</f>
        <v>3563065</v>
      </c>
      <c r="C38" s="60">
        <f>C39+C40+C41+C42+C43+C44</f>
        <v>5817149.02</v>
      </c>
      <c r="D38" s="60">
        <f>D39+D40+D41+D42+D43+D44</f>
        <v>6066491.87</v>
      </c>
      <c r="E38" s="60">
        <f>E39+E40+E41+E42+E43+E44</f>
        <v>6377331.34</v>
      </c>
      <c r="F38" s="60">
        <f>F39+F40+F41+F42+F43+F44</f>
        <v>8235183.99</v>
      </c>
      <c r="G38" s="60">
        <f>G39+G40+G41+G42+G43+G44</f>
        <v>6785728.260430001</v>
      </c>
      <c r="H38" s="60">
        <f>H39+H40+H41+H42+H43+H44</f>
        <v>6434439.48636</v>
      </c>
      <c r="I38" s="60">
        <f>I39+I40+I41+I42+I43+I44</f>
        <v>4049114.75229</v>
      </c>
      <c r="J38" s="60">
        <f>J39+J40+J41+J42+J43+J44</f>
        <v>3841937.01822</v>
      </c>
      <c r="K38" s="60">
        <f>K39+K40+K41+K42+K43+K44</f>
        <v>3634759.28415</v>
      </c>
      <c r="L38" s="60">
        <f>L39+L40+L41+L42+L43+L44</f>
        <v>3427581.5500800004</v>
      </c>
      <c r="M38" s="60">
        <f>M39+M40+M41+M42+M43+M44</f>
        <v>3220409.27601</v>
      </c>
      <c r="N38" s="60">
        <f>N39+N40+N41+N42+N43+N44</f>
        <v>2530593.07854</v>
      </c>
      <c r="O38" s="60">
        <f>O39+O40+O41+O42+O43+O44</f>
        <v>1243162.8848700006</v>
      </c>
      <c r="P38" s="60">
        <f>P39+P40+P41+P42+P43+P44</f>
        <v>1189730.5212000005</v>
      </c>
      <c r="Q38" s="60">
        <f>Q39+Q40+Q41+Q42+Q43+Q44</f>
        <v>1136298.1575300004</v>
      </c>
      <c r="R38" s="60">
        <f>R39+R40+R41+R42+R43+R44</f>
        <v>1082865.7938600006</v>
      </c>
      <c r="S38" s="60">
        <f>S39+S40+S41+S42+S43+S44</f>
        <v>1029433.4301900005</v>
      </c>
      <c r="T38" s="60">
        <f>T39+T40+T41+T42+T43+T44</f>
        <v>976001.0665200005</v>
      </c>
      <c r="U38" s="60">
        <f>U39+U40+U41+U42+U43+U44</f>
        <v>922568.7028500005</v>
      </c>
      <c r="V38" s="60">
        <f>V39+V40+V41+V42+V43+V44</f>
        <v>869136.3391800005</v>
      </c>
      <c r="W38" s="60">
        <f>W39+W40+W41+W42+W43+W44</f>
        <v>815703.9755100005</v>
      </c>
      <c r="X38" s="60">
        <f>X39+X40+X41+X42+X43+X44</f>
        <v>762271.6118400005</v>
      </c>
      <c r="Y38" s="60">
        <f>Y39+Y40+Y41+Y42+Y43+Y44</f>
        <v>708804.5281700004</v>
      </c>
      <c r="Z38" s="60">
        <f>Z39+Z40+Z41+Z42+Z43+Z44</f>
        <v>287057.0445000001</v>
      </c>
    </row>
    <row r="39" spans="1:26" ht="27" customHeight="1">
      <c r="A39" s="62" t="s">
        <v>122</v>
      </c>
      <c r="B39" s="60">
        <f>B28-B29</f>
        <v>2773591</v>
      </c>
      <c r="C39" s="60">
        <f>C28-C29</f>
        <v>4742375.02</v>
      </c>
      <c r="D39" s="60">
        <f>D28-D29</f>
        <v>4815067.28</v>
      </c>
      <c r="E39" s="61">
        <v>4726604.1</v>
      </c>
      <c r="F39" s="60">
        <f>F28-F29</f>
        <v>6035183.99</v>
      </c>
      <c r="G39" s="60">
        <f>G28-G29</f>
        <v>4639390.1845</v>
      </c>
      <c r="H39" s="60">
        <f>H28-H29</f>
        <v>4639390.9845</v>
      </c>
      <c r="I39" s="60">
        <f>I28-I29</f>
        <v>2461243.9845</v>
      </c>
      <c r="J39" s="60">
        <f>J28-J29</f>
        <v>2461243.9845</v>
      </c>
      <c r="K39" s="60">
        <f>K28-K29</f>
        <v>2461243.9845</v>
      </c>
      <c r="L39" s="60">
        <f>L28-L29</f>
        <v>2461243.9845</v>
      </c>
      <c r="M39" s="60">
        <f>M28-M29</f>
        <v>2461249.9845</v>
      </c>
      <c r="N39" s="60">
        <f>N28-N29</f>
        <v>1917714.8745</v>
      </c>
      <c r="O39" s="60">
        <f>O28-O29</f>
        <v>683717.0445000001</v>
      </c>
      <c r="P39" s="60">
        <f>P28-P29</f>
        <v>683717.0445000001</v>
      </c>
      <c r="Q39" s="60">
        <f>Q28-Q29</f>
        <v>683717.0445000001</v>
      </c>
      <c r="R39" s="60">
        <f>R28-R29</f>
        <v>683717.0445000001</v>
      </c>
      <c r="S39" s="60">
        <f>S28-S29</f>
        <v>683717.0445000001</v>
      </c>
      <c r="T39" s="60">
        <f>T28-T29</f>
        <v>683717.0445000001</v>
      </c>
      <c r="U39" s="60">
        <f>U28-U29</f>
        <v>683717.0445000001</v>
      </c>
      <c r="V39" s="60">
        <f>V28-V29</f>
        <v>683717.0445000001</v>
      </c>
      <c r="W39" s="60">
        <f>W28-W29</f>
        <v>683717.0445000001</v>
      </c>
      <c r="X39" s="60">
        <f>X28-X29</f>
        <v>683717.0445000001</v>
      </c>
      <c r="Y39" s="60">
        <f>Y28-Y29</f>
        <v>683683.0445000001</v>
      </c>
      <c r="Z39" s="60">
        <f>Z28-Z29</f>
        <v>287057.0445000001</v>
      </c>
    </row>
    <row r="40" spans="1:26" ht="27" customHeight="1">
      <c r="A40" s="62" t="s">
        <v>123</v>
      </c>
      <c r="B40" s="63">
        <v>789474</v>
      </c>
      <c r="C40" s="63">
        <v>1074774</v>
      </c>
      <c r="D40" s="63">
        <v>1251424.59</v>
      </c>
      <c r="E40" s="63">
        <v>1650727.24</v>
      </c>
      <c r="F40" s="63">
        <v>2200000</v>
      </c>
      <c r="G40" s="65">
        <f>SUM(G46*0.06)</f>
        <v>2146338.07593</v>
      </c>
      <c r="H40" s="65">
        <f>SUM(H46*0.06)</f>
        <v>1795048.5018600002</v>
      </c>
      <c r="I40" s="65">
        <f>SUM(I46*0.06)</f>
        <v>1587870.7677900002</v>
      </c>
      <c r="J40" s="65">
        <f>SUM(J46*0.06)</f>
        <v>1380693.0337200004</v>
      </c>
      <c r="K40" s="65">
        <f>SUM(K46*0.06)</f>
        <v>1173515.2996500004</v>
      </c>
      <c r="L40" s="65">
        <f>SUM(L46*0.06)</f>
        <v>966337.5655800004</v>
      </c>
      <c r="M40" s="65">
        <f>SUM(M46*0.06)</f>
        <v>759159.2915100005</v>
      </c>
      <c r="N40" s="65">
        <f>SUM(N46*0.06)</f>
        <v>612878.2040400004</v>
      </c>
      <c r="O40" s="65">
        <f>SUM(O46*0.06)</f>
        <v>559445.8403700005</v>
      </c>
      <c r="P40" s="65">
        <f>SUM(P46*0.06)</f>
        <v>506013.47670000046</v>
      </c>
      <c r="Q40" s="65">
        <f>SUM(Q46*0.06)</f>
        <v>452581.1130300004</v>
      </c>
      <c r="R40" s="65">
        <f>SUM(R46*0.06)</f>
        <v>399148.7493600004</v>
      </c>
      <c r="S40" s="65">
        <f>SUM(S46*0.06)</f>
        <v>345716.3856900004</v>
      </c>
      <c r="T40" s="65">
        <f>SUM(T46*0.06)</f>
        <v>292284.0220200004</v>
      </c>
      <c r="U40" s="65">
        <f>SUM(U46*0.06)</f>
        <v>238851.65835000036</v>
      </c>
      <c r="V40" s="65">
        <f>SUM(V46*0.06)</f>
        <v>185419.29468000037</v>
      </c>
      <c r="W40" s="65">
        <f>SUM(W46*0.06)</f>
        <v>131986.93101000038</v>
      </c>
      <c r="X40" s="65">
        <f>SUM(X46*0.06)</f>
        <v>78554.56734000039</v>
      </c>
      <c r="Y40" s="65">
        <f>SUM(Y46*0.06)</f>
        <v>25121.48367000038</v>
      </c>
      <c r="Z40" s="65">
        <f>SUM(Z46*0.06)</f>
        <v>0</v>
      </c>
    </row>
    <row r="41" spans="1:26" ht="27" customHeight="1">
      <c r="A41" s="62" t="s">
        <v>124</v>
      </c>
      <c r="B41" s="60">
        <f>B30-B31</f>
        <v>0</v>
      </c>
      <c r="C41" s="60">
        <f>C30-C31</f>
        <v>0</v>
      </c>
      <c r="D41" s="60">
        <f>D30-D31</f>
        <v>0</v>
      </c>
      <c r="E41" s="61">
        <v>0</v>
      </c>
      <c r="F41" s="60">
        <f>F30-F31</f>
        <v>0</v>
      </c>
      <c r="G41" s="60">
        <f>G30-G31</f>
        <v>0</v>
      </c>
      <c r="H41" s="60">
        <f>H30-H31</f>
        <v>0</v>
      </c>
      <c r="I41" s="60">
        <f>I30-I31</f>
        <v>0</v>
      </c>
      <c r="J41" s="60">
        <f>J30-J31</f>
        <v>0</v>
      </c>
      <c r="K41" s="60">
        <f>K30-K31</f>
        <v>0</v>
      </c>
      <c r="L41" s="60">
        <f>L30-L31</f>
        <v>0</v>
      </c>
      <c r="M41" s="60">
        <f>M30-M31</f>
        <v>0</v>
      </c>
      <c r="N41" s="60">
        <f>N30-N31</f>
        <v>0</v>
      </c>
      <c r="O41" s="60">
        <f>O30-O31</f>
        <v>0</v>
      </c>
      <c r="P41" s="60">
        <f>P30-P31</f>
        <v>0</v>
      </c>
      <c r="Q41" s="60">
        <f>Q30-Q31</f>
        <v>0</v>
      </c>
      <c r="R41" s="60">
        <f>R30-R31</f>
        <v>0</v>
      </c>
      <c r="S41" s="60">
        <f>S30-S31</f>
        <v>0</v>
      </c>
      <c r="T41" s="60">
        <f>T30-T31</f>
        <v>0</v>
      </c>
      <c r="U41" s="60">
        <f>U30-U31</f>
        <v>0</v>
      </c>
      <c r="V41" s="60">
        <f>V30-V31</f>
        <v>0</v>
      </c>
      <c r="W41" s="60">
        <f>W30-W31</f>
        <v>0</v>
      </c>
      <c r="X41" s="60">
        <f>X30-X31</f>
        <v>0</v>
      </c>
      <c r="Y41" s="60">
        <f>Y30-Y31</f>
        <v>0</v>
      </c>
      <c r="Z41" s="60">
        <f>Z30-Z31</f>
        <v>0</v>
      </c>
    </row>
    <row r="42" spans="1:26" ht="27" customHeight="1">
      <c r="A42" s="62" t="s">
        <v>125</v>
      </c>
      <c r="B42" s="63">
        <v>0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</row>
    <row r="43" spans="1:26" ht="60" customHeight="1">
      <c r="A43" s="62" t="s">
        <v>126</v>
      </c>
      <c r="B43" s="60">
        <f>B36-B37</f>
        <v>0</v>
      </c>
      <c r="C43" s="60">
        <f>C36-C37</f>
        <v>0</v>
      </c>
      <c r="D43" s="60">
        <f>D36-D37</f>
        <v>0</v>
      </c>
      <c r="E43" s="60">
        <f>E36-E37</f>
        <v>0</v>
      </c>
      <c r="F43" s="60">
        <f>F36-F37</f>
        <v>0</v>
      </c>
      <c r="G43" s="60">
        <f>G36-G37</f>
        <v>0</v>
      </c>
      <c r="H43" s="60">
        <f>H36-H37</f>
        <v>0</v>
      </c>
      <c r="I43" s="60">
        <f>I36-I37</f>
        <v>0</v>
      </c>
      <c r="J43" s="60">
        <f>J36-J37</f>
        <v>0</v>
      </c>
      <c r="K43" s="60">
        <f>K36-K37</f>
        <v>0</v>
      </c>
      <c r="L43" s="60">
        <f>L36-L37</f>
        <v>0</v>
      </c>
      <c r="M43" s="60">
        <f>M36-M37</f>
        <v>0</v>
      </c>
      <c r="N43" s="60">
        <f>N36-N37</f>
        <v>0</v>
      </c>
      <c r="O43" s="60">
        <f>O36-O37</f>
        <v>0</v>
      </c>
      <c r="P43" s="60">
        <f>P36-P37</f>
        <v>0</v>
      </c>
      <c r="Q43" s="60">
        <f>Q36-Q37</f>
        <v>0</v>
      </c>
      <c r="R43" s="60">
        <f>R36-R37</f>
        <v>0</v>
      </c>
      <c r="S43" s="60">
        <f>S36-S37</f>
        <v>0</v>
      </c>
      <c r="T43" s="60">
        <f>T36-T37</f>
        <v>0</v>
      </c>
      <c r="U43" s="60">
        <f>U36-U37</f>
        <v>0</v>
      </c>
      <c r="V43" s="60">
        <f>V36-V37</f>
        <v>0</v>
      </c>
      <c r="W43" s="60">
        <f>W36-W37</f>
        <v>0</v>
      </c>
      <c r="X43" s="60">
        <f>X36-X37</f>
        <v>0</v>
      </c>
      <c r="Y43" s="60">
        <f>Y36-Y37</f>
        <v>0</v>
      </c>
      <c r="Z43" s="60">
        <f>Z36-Z37</f>
        <v>0</v>
      </c>
    </row>
    <row r="44" spans="1:26" ht="48" customHeight="1">
      <c r="A44" s="62" t="s">
        <v>127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68">
        <v>0</v>
      </c>
      <c r="T44" s="68">
        <v>0</v>
      </c>
      <c r="U44" s="68">
        <v>0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</row>
    <row r="45" spans="1:26" ht="27" customHeight="1">
      <c r="A45" s="59" t="s">
        <v>128</v>
      </c>
      <c r="B45" s="74">
        <f>B38/B8</f>
        <v>0.06294843871374606</v>
      </c>
      <c r="C45" s="74">
        <f>C38/C8</f>
        <v>0.08862409085697345</v>
      </c>
      <c r="D45" s="74">
        <f>D38/D8</f>
        <v>0.079752272500536</v>
      </c>
      <c r="E45" s="74">
        <f>E38/E8</f>
        <v>0.08775242377238743</v>
      </c>
      <c r="F45" s="74">
        <f>F38/F8</f>
        <v>0.0915828029342612</v>
      </c>
      <c r="G45" s="74">
        <f>G38/G8</f>
        <v>0.09679072875421993</v>
      </c>
      <c r="H45" s="74">
        <f>H38/H8</f>
        <v>0.09528525574341158</v>
      </c>
      <c r="I45" s="74">
        <f>I38/I8</f>
        <v>0.058161970747358946</v>
      </c>
      <c r="J45" s="74">
        <f>J38/J8</f>
        <v>0.05352951329151827</v>
      </c>
      <c r="K45" s="74">
        <f>K38/K8</f>
        <v>0.049122754579726584</v>
      </c>
      <c r="L45" s="74">
        <f>L38/L8</f>
        <v>0.04493231937703471</v>
      </c>
      <c r="M45" s="74">
        <f>M38/M8</f>
        <v>0.040949261324092524</v>
      </c>
      <c r="N45" s="74">
        <f>N38/N8</f>
        <v>0.031211975733080415</v>
      </c>
      <c r="O45" s="75">
        <f>O38/O8</f>
        <v>0.014872737102200847</v>
      </c>
      <c r="P45" s="75">
        <f>P38/P8</f>
        <v>0.013806238414894999</v>
      </c>
      <c r="Q45" s="75">
        <f>Q38/Q8</f>
        <v>0.012790365278676028</v>
      </c>
      <c r="R45" s="75">
        <f>R38/R8</f>
        <v>0.01182303945993521</v>
      </c>
      <c r="S45" s="75">
        <f>S38/S8</f>
        <v>0.010902261869962498</v>
      </c>
      <c r="T45" s="75">
        <f>T38/T8</f>
        <v>0.010026109686327665</v>
      </c>
      <c r="U45" s="75">
        <f>U38/U8</f>
        <v>0.009192733575755672</v>
      </c>
      <c r="V45" s="75">
        <f>V38/V8</f>
        <v>0.008400355014997262</v>
      </c>
      <c r="W45" s="75">
        <f>W38/W8</f>
        <v>0.007647263706314304</v>
      </c>
      <c r="X45" s="75">
        <f>X38/X8</f>
        <v>0.006931815084314087</v>
      </c>
      <c r="Y45" s="75">
        <f>Y38/Y8</f>
        <v>0.006252121657764807</v>
      </c>
      <c r="Z45" s="75">
        <f>Z38/Z8</f>
        <v>0.002456025319692987</v>
      </c>
    </row>
    <row r="46" spans="1:26" ht="39" customHeight="1">
      <c r="A46" s="59" t="s">
        <v>129</v>
      </c>
      <c r="B46" s="60">
        <f>B47+B49+B51+B52</f>
        <v>24155833</v>
      </c>
      <c r="C46" s="60">
        <f>C47+C49+C51+C52</f>
        <v>28648983.98</v>
      </c>
      <c r="D46" s="60">
        <f>D47+D49+D51+D52</f>
        <v>38034525.7</v>
      </c>
      <c r="E46" s="61">
        <v>40534439.7</v>
      </c>
      <c r="F46" s="76">
        <f>F47+F49+F51+F52</f>
        <v>41627126.7</v>
      </c>
      <c r="G46" s="76">
        <f>G47+G49+G51+G52</f>
        <v>35772301.2655</v>
      </c>
      <c r="H46" s="76">
        <f>H47+H49+H51+H52</f>
        <v>29917475.031000003</v>
      </c>
      <c r="I46" s="76">
        <f>I47+I49+I51+I52</f>
        <v>26464512.796500005</v>
      </c>
      <c r="J46" s="76">
        <f>J47+J49+J51+J52</f>
        <v>23011550.562000006</v>
      </c>
      <c r="K46" s="76">
        <f>K47+K49+K51+K52</f>
        <v>19558588.327500008</v>
      </c>
      <c r="L46" s="76">
        <f>L47+L49+L51+L52</f>
        <v>16105626.093000008</v>
      </c>
      <c r="M46" s="76">
        <f>M47+M49+M51+M52</f>
        <v>12652654.858500008</v>
      </c>
      <c r="N46" s="76">
        <f>N47+N49+N51+N52</f>
        <v>10214636.734000009</v>
      </c>
      <c r="O46" s="60">
        <f>O47+O49+O51+O52</f>
        <v>9324097.339500008</v>
      </c>
      <c r="P46" s="60">
        <f>P47+P49+P51+P52</f>
        <v>8433557.945000008</v>
      </c>
      <c r="Q46" s="60">
        <f>Q47+Q49+Q51+Q52</f>
        <v>7543018.550500007</v>
      </c>
      <c r="R46" s="60">
        <f>R47+R49+R51+R52</f>
        <v>6652479.156000007</v>
      </c>
      <c r="S46" s="60">
        <f>S47+S49+S51+S52</f>
        <v>5761939.761500007</v>
      </c>
      <c r="T46" s="60">
        <f>T47+T49+T51+T52</f>
        <v>4871400.367000006</v>
      </c>
      <c r="U46" s="60">
        <f>U47+U49+U51+U52</f>
        <v>3980860.972500006</v>
      </c>
      <c r="V46" s="60">
        <f>V47+V49+V51+V52</f>
        <v>3090321.5780000063</v>
      </c>
      <c r="W46" s="60">
        <f>W47+W49+W51+W52</f>
        <v>2199782.1835000063</v>
      </c>
      <c r="X46" s="60">
        <f>X47+X49+X51+X52</f>
        <v>1309242.7890000064</v>
      </c>
      <c r="Y46" s="60">
        <f>Y47+Y49+Y51+Y52</f>
        <v>418691.39450000634</v>
      </c>
      <c r="Z46" s="60">
        <f>Z47+Z49+Z51+Z52</f>
        <v>0</v>
      </c>
    </row>
    <row r="47" spans="1:26" ht="27" customHeight="1">
      <c r="A47" s="62" t="s">
        <v>130</v>
      </c>
      <c r="B47" s="77">
        <v>0</v>
      </c>
      <c r="C47" s="78">
        <f>B47+C20-C30</f>
        <v>0</v>
      </c>
      <c r="D47" s="78">
        <f>C47+D20-D30</f>
        <v>0</v>
      </c>
      <c r="E47" s="77">
        <v>0</v>
      </c>
      <c r="F47" s="78">
        <f>E47+F20-F30</f>
        <v>0</v>
      </c>
      <c r="G47" s="78">
        <f>F47+G20-G30</f>
        <v>0</v>
      </c>
      <c r="H47" s="78">
        <f>G47+H20-H30</f>
        <v>0</v>
      </c>
      <c r="I47" s="78">
        <f>H47+I20-I30</f>
        <v>0</v>
      </c>
      <c r="J47" s="78">
        <f>I47+J20-J30</f>
        <v>0</v>
      </c>
      <c r="K47" s="78">
        <f>J47+K20-K30</f>
        <v>0</v>
      </c>
      <c r="L47" s="78">
        <f>K47+L20-L30</f>
        <v>0</v>
      </c>
      <c r="M47" s="78">
        <f>L47+M20-M30</f>
        <v>0</v>
      </c>
      <c r="N47" s="78">
        <f>M47+N20-N30</f>
        <v>0</v>
      </c>
      <c r="O47" s="78">
        <f>N47+O20-O30</f>
        <v>0</v>
      </c>
      <c r="P47" s="78">
        <f>O47+P20-P30</f>
        <v>0</v>
      </c>
      <c r="Q47" s="78">
        <f>P47+Q20-Q30</f>
        <v>0</v>
      </c>
      <c r="R47" s="78">
        <f>Q47+R20-R30</f>
        <v>0</v>
      </c>
      <c r="S47" s="78">
        <f>R47+S20-S30</f>
        <v>0</v>
      </c>
      <c r="T47" s="78">
        <f>S47+T20-T30</f>
        <v>0</v>
      </c>
      <c r="U47" s="78">
        <f>T47+U20-U30</f>
        <v>0</v>
      </c>
      <c r="V47" s="78">
        <f>U47+V20-V30</f>
        <v>0</v>
      </c>
      <c r="W47" s="78">
        <f>V47+W20-W30</f>
        <v>0</v>
      </c>
      <c r="X47" s="78">
        <f>W47+X20-X30</f>
        <v>0</v>
      </c>
      <c r="Y47" s="78">
        <f>X47+Y20-Y30</f>
        <v>0</v>
      </c>
      <c r="Z47" s="78">
        <f>Y47+Z20-Z30</f>
        <v>0</v>
      </c>
    </row>
    <row r="48" spans="1:26" ht="48" customHeight="1">
      <c r="A48" s="62" t="s">
        <v>131</v>
      </c>
      <c r="B48" s="77">
        <v>0</v>
      </c>
      <c r="C48" s="78">
        <f>B48+C21-C31</f>
        <v>0</v>
      </c>
      <c r="D48" s="78">
        <f>C48+D21-D31</f>
        <v>0</v>
      </c>
      <c r="E48" s="77">
        <v>0</v>
      </c>
      <c r="F48" s="78">
        <f>E48+F21-F31</f>
        <v>0</v>
      </c>
      <c r="G48" s="78">
        <f>F48+G21-G31</f>
        <v>0</v>
      </c>
      <c r="H48" s="78">
        <f>G48+H21-H31</f>
        <v>0</v>
      </c>
      <c r="I48" s="78">
        <f>H48+I21-I31</f>
        <v>0</v>
      </c>
      <c r="J48" s="78">
        <f>I48+J21-J31</f>
        <v>0</v>
      </c>
      <c r="K48" s="78">
        <f>J48+K21-K31</f>
        <v>0</v>
      </c>
      <c r="L48" s="78">
        <f>K48+L21-L31</f>
        <v>0</v>
      </c>
      <c r="M48" s="78">
        <f>L48+M21-M31</f>
        <v>0</v>
      </c>
      <c r="N48" s="78">
        <f>M48+N21-N31</f>
        <v>0</v>
      </c>
      <c r="O48" s="78">
        <f>N48+O21-O31</f>
        <v>0</v>
      </c>
      <c r="P48" s="78">
        <f>O48+P21-P31</f>
        <v>0</v>
      </c>
      <c r="Q48" s="78">
        <f>P48+Q21-Q31</f>
        <v>0</v>
      </c>
      <c r="R48" s="78">
        <f>Q48+R21-R31</f>
        <v>0</v>
      </c>
      <c r="S48" s="78">
        <f>R48+S21-S31</f>
        <v>0</v>
      </c>
      <c r="T48" s="78">
        <f>S48+T21-T31</f>
        <v>0</v>
      </c>
      <c r="U48" s="78">
        <f>T48+U21-U31</f>
        <v>0</v>
      </c>
      <c r="V48" s="78">
        <f>U48+V21-V31</f>
        <v>0</v>
      </c>
      <c r="W48" s="78">
        <f>V48+W21-W31</f>
        <v>0</v>
      </c>
      <c r="X48" s="78">
        <f>W48+X21-X31</f>
        <v>0</v>
      </c>
      <c r="Y48" s="78">
        <f>X48+Y21-Y31</f>
        <v>0</v>
      </c>
      <c r="Z48" s="78">
        <f>Y48+Z21-Z31</f>
        <v>0</v>
      </c>
    </row>
    <row r="49" spans="1:26" ht="27" customHeight="1">
      <c r="A49" s="62" t="s">
        <v>132</v>
      </c>
      <c r="B49" s="77">
        <v>24155833</v>
      </c>
      <c r="C49" s="78">
        <f>B49+C18-C28-C34</f>
        <v>28648983.98</v>
      </c>
      <c r="D49" s="78">
        <f>C49+D18-D28-D34</f>
        <v>38034525.7</v>
      </c>
      <c r="E49" s="77">
        <v>40534439.7</v>
      </c>
      <c r="F49" s="78">
        <f>E49+F18-F28-F34</f>
        <v>41627126.7</v>
      </c>
      <c r="G49" s="78">
        <f>F49+G18-G28-G34</f>
        <v>35772301.2655</v>
      </c>
      <c r="H49" s="78">
        <f>G49+H18-H28-H34</f>
        <v>29917475.031000003</v>
      </c>
      <c r="I49" s="78">
        <f>H49+I18-I28-I34</f>
        <v>26464512.796500005</v>
      </c>
      <c r="J49" s="78">
        <f>I49+J18-J28-J34</f>
        <v>23011550.562000006</v>
      </c>
      <c r="K49" s="78">
        <f>J49+K18-K28-K34</f>
        <v>19558588.327500008</v>
      </c>
      <c r="L49" s="78">
        <f>K49+L18-L28-L34</f>
        <v>16105626.093000008</v>
      </c>
      <c r="M49" s="78">
        <f>L49+M18-M28-M34</f>
        <v>12652654.858500008</v>
      </c>
      <c r="N49" s="78">
        <f>M49+N18-N28-N34</f>
        <v>10214636.734000009</v>
      </c>
      <c r="O49" s="78">
        <f>N49+O18-O28-O34</f>
        <v>9324097.339500008</v>
      </c>
      <c r="P49" s="78">
        <f>O49+P18-P28-P34</f>
        <v>8433557.945000008</v>
      </c>
      <c r="Q49" s="78">
        <f>P49+Q18-Q28-Q34</f>
        <v>7543018.550500007</v>
      </c>
      <c r="R49" s="78">
        <f>Q49+R18-R28-R34</f>
        <v>6652479.156000007</v>
      </c>
      <c r="S49" s="78">
        <f>R49+S18-S28-S34</f>
        <v>5761939.761500007</v>
      </c>
      <c r="T49" s="78">
        <f>S49+T18-T28-T34</f>
        <v>4871400.367000006</v>
      </c>
      <c r="U49" s="78">
        <f>T49+U18-U28-U34</f>
        <v>3980860.972500006</v>
      </c>
      <c r="V49" s="78">
        <f>U49+V18-V28-V34</f>
        <v>3090321.5780000063</v>
      </c>
      <c r="W49" s="78">
        <f>V49+W18-W28-W34</f>
        <v>2199782.1835000063</v>
      </c>
      <c r="X49" s="78">
        <f>W49+X18-X28-X34</f>
        <v>1309242.7890000064</v>
      </c>
      <c r="Y49" s="78">
        <f>X49+Y18-Y28-Y34</f>
        <v>418691.39450000634</v>
      </c>
      <c r="Z49" s="78">
        <v>0</v>
      </c>
    </row>
    <row r="50" spans="1:26" ht="48" customHeight="1">
      <c r="A50" s="62" t="s">
        <v>133</v>
      </c>
      <c r="B50" s="77">
        <v>4861053</v>
      </c>
      <c r="C50" s="78">
        <f>B50+C19-C29</f>
        <v>7964322</v>
      </c>
      <c r="D50" s="78">
        <f>C50+D19-D29</f>
        <v>9438082</v>
      </c>
      <c r="E50" s="77">
        <v>8929764.1</v>
      </c>
      <c r="F50" s="78">
        <f>E50+F19-F29</f>
        <v>10316494.2</v>
      </c>
      <c r="G50" s="78">
        <f>F50+G19-G29</f>
        <v>9101058.95</v>
      </c>
      <c r="H50" s="78">
        <f>G50+H19-H29</f>
        <v>7885623.699999999</v>
      </c>
      <c r="I50" s="78">
        <f>H50+I19-I29</f>
        <v>6893905.449999999</v>
      </c>
      <c r="J50" s="78">
        <f>I50+J19-J29</f>
        <v>5902187.199999999</v>
      </c>
      <c r="K50" s="78">
        <f>J50+K19-K29</f>
        <v>4910468.949999999</v>
      </c>
      <c r="L50" s="78">
        <f>K50+L19-L29</f>
        <v>3918750.6999999993</v>
      </c>
      <c r="M50" s="78">
        <f>L50+M19-M29</f>
        <v>2927029.4499999993</v>
      </c>
      <c r="N50" s="78">
        <f>M50+N19-N29</f>
        <v>2406726.1999999993</v>
      </c>
      <c r="O50" s="78">
        <f>N50+O19-O29</f>
        <v>2199903.849999999</v>
      </c>
      <c r="P50" s="78">
        <f>O50+P19-P29</f>
        <v>1993081.499999999</v>
      </c>
      <c r="Q50" s="78">
        <f>P50+Q19-Q29</f>
        <v>1786259.149999999</v>
      </c>
      <c r="R50" s="78">
        <f>Q50+R19-R29</f>
        <v>1579436.7999999989</v>
      </c>
      <c r="S50" s="78">
        <f>R50+S19-S29</f>
        <v>1372614.4499999988</v>
      </c>
      <c r="T50" s="78">
        <f>S50+T19-T29</f>
        <v>1165792.0999999987</v>
      </c>
      <c r="U50" s="78">
        <f>T50+U19-U29</f>
        <v>958969.7499999987</v>
      </c>
      <c r="V50" s="78">
        <f>U50+V19-V29</f>
        <v>752147.3999999987</v>
      </c>
      <c r="W50" s="78">
        <f>V50+W19-W29</f>
        <v>545325.0499999988</v>
      </c>
      <c r="X50" s="78">
        <f>W50+X19-X29</f>
        <v>338502.6999999988</v>
      </c>
      <c r="Y50" s="78">
        <f>X50+Y19-Y29</f>
        <v>131634.34999999878</v>
      </c>
      <c r="Z50" s="79">
        <f>Y50+Z19-Z29</f>
        <v>-1.2223608791828156E-09</v>
      </c>
    </row>
    <row r="51" spans="1:26" ht="27" customHeight="1">
      <c r="A51" s="62" t="s">
        <v>134</v>
      </c>
      <c r="B51" s="68">
        <v>0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68">
        <v>0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</row>
    <row r="52" spans="1:26" ht="27" customHeight="1">
      <c r="A52" s="62" t="s">
        <v>135</v>
      </c>
      <c r="B52" s="68">
        <v>0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0</v>
      </c>
      <c r="T52" s="68">
        <v>0</v>
      </c>
      <c r="U52" s="68">
        <v>0</v>
      </c>
      <c r="V52" s="68">
        <v>0</v>
      </c>
      <c r="W52" s="68">
        <v>0</v>
      </c>
      <c r="X52" s="68">
        <v>0</v>
      </c>
      <c r="Y52" s="68">
        <v>0</v>
      </c>
      <c r="Z52" s="68">
        <v>0</v>
      </c>
    </row>
    <row r="53" spans="1:26" ht="27" customHeight="1">
      <c r="A53" s="59" t="s">
        <v>136</v>
      </c>
      <c r="B53" s="75">
        <f>(B46-B48-B50)/B8</f>
        <v>0.3408796292869238</v>
      </c>
      <c r="C53" s="75">
        <f>(C46-C48-C50)/C8</f>
        <v>0.31513020490943255</v>
      </c>
      <c r="D53" s="75">
        <f>(D46-D48-D50)/D8</f>
        <v>0.37593907968241225</v>
      </c>
      <c r="E53" s="75">
        <f>(E46-E48-E50)/E8</f>
        <v>0.4348820436919674</v>
      </c>
      <c r="F53" s="74">
        <f>(F46-F48-F50)/F8</f>
        <v>0.3482029654075251</v>
      </c>
      <c r="G53" s="74">
        <f>(G46-G48-G50)/G8</f>
        <v>0.38043506627747664</v>
      </c>
      <c r="H53" s="74">
        <f>(H46-H48-H50)/H8</f>
        <v>0.32626161035865925</v>
      </c>
      <c r="I53" s="74">
        <f>(I46-I48-I50)/I8</f>
        <v>0.2811145550645185</v>
      </c>
      <c r="J53" s="74">
        <f>(J46-J48-J50)/J8</f>
        <v>0.23838389050945932</v>
      </c>
      <c r="K53" s="74">
        <f>(K46-K48-K50)/K8</f>
        <v>0.19796523427926002</v>
      </c>
      <c r="L53" s="74">
        <f>(L46-L48-L50)/L8</f>
        <v>0.15975829294378743</v>
      </c>
      <c r="M53" s="74">
        <f>(M46-M48-M50)/M8</f>
        <v>0.12366663434975904</v>
      </c>
      <c r="N53" s="74">
        <f>(N46-N48-N50)/N8</f>
        <v>0.09630165994679463</v>
      </c>
      <c r="O53" s="75">
        <f>(O46-O48-O50)/O8</f>
        <v>0.08523119385568248</v>
      </c>
      <c r="P53" s="75">
        <f>(P46-P48-P50)/P8</f>
        <v>0.07473856618850055</v>
      </c>
      <c r="Q53" s="75">
        <f>(Q46-Q48-Q50)/Q8</f>
        <v>0.06479906269838613</v>
      </c>
      <c r="R53" s="75">
        <f>(R46-R48-R50)/R8</f>
        <v>0.05538893212529087</v>
      </c>
      <c r="S53" s="75">
        <f>(S46-S48-S50)/S8</f>
        <v>0.04648535065506427</v>
      </c>
      <c r="T53" s="75">
        <f>(T46-T48-T50)/T8</f>
        <v>0.03806638764440664</v>
      </c>
      <c r="U53" s="75">
        <f>(U46-U48-U50)/U8</f>
        <v>0.030110972567724104</v>
      </c>
      <c r="V53" s="75">
        <f>(V46-V48-V50)/V8</f>
        <v>0.022598863143417205</v>
      </c>
      <c r="W53" s="75">
        <f>(W46-W48-W50)/W8</f>
        <v>0.015510614598582759</v>
      </c>
      <c r="X53" s="75">
        <f>(X46-X48-X50)/X8</f>
        <v>0.008827550032508695</v>
      </c>
      <c r="Y53" s="75">
        <f>(Y46-Y48-Y50)/Y8</f>
        <v>0.002532031743033683</v>
      </c>
      <c r="Z53" s="75">
        <f>(Z46-Z48-Z50)/Z8</f>
        <v>1.045837169509064E-17</v>
      </c>
    </row>
    <row r="54" spans="1:26" ht="48" customHeight="1">
      <c r="A54" s="59" t="s">
        <v>137</v>
      </c>
      <c r="B54" s="75" t="s">
        <v>14</v>
      </c>
      <c r="C54" s="75" t="s">
        <v>14</v>
      </c>
      <c r="D54" s="80">
        <v>0.104323622108358</v>
      </c>
      <c r="E54" s="75">
        <f>((D9+D11-D13)/D8+(C9+C11-C13)/C8+(B9+B11-B13)/B8)/3</f>
        <v>0.0845167385672977</v>
      </c>
      <c r="F54" s="75">
        <f>((E9+E11-E13)/E8+(D9+D11-D13)/D8+(C9+C11-C13)/C8)/3</f>
        <v>0.09486854270000922</v>
      </c>
      <c r="G54" s="75">
        <f>((F9+F11-F13)/F8+(E9+E11-E13)/E8+(D9+D11-D13)/D8)/3</f>
        <v>0.09063595299976974</v>
      </c>
      <c r="H54" s="75">
        <f>((G9+G11-G13)/G8+(F9+F11-F13)/F8+(E9+E11-E13)/E8)/3</f>
        <v>0.1412028237592521</v>
      </c>
      <c r="I54" s="75">
        <f>((H9+H11-H13)/H8+(G9+G11-G13)/G8+(F9+F11-F13)/F8)/3</f>
        <v>0.16454253219786721</v>
      </c>
      <c r="J54" s="75">
        <f>((I9+I11-I13)/I8+(H9+H11-H13)/H8+(G9+G11-G13)/G8)/3</f>
        <v>0.20735489374898194</v>
      </c>
      <c r="K54" s="75">
        <f>((J9+J11-J13)/J8+(I9+I11-I13)/I8+(H9+H11-H13)/H8)/3</f>
        <v>0.190637169225527</v>
      </c>
      <c r="L54" s="75">
        <f>((K9+K11-K13)/K8+(J9+J11-J13)/J8+(I9+I11-I13)/I8)/3</f>
        <v>0.191379950234734</v>
      </c>
      <c r="M54" s="75">
        <f>((L9+L11-L13)/L8+(K9+K11-K13)/K8+(J9+J11-J13)/J8)/3</f>
        <v>0.19212208830451236</v>
      </c>
      <c r="N54" s="75">
        <f>((M9+M11-M13)/M8+(L9+L11-L13)/L8+(K9+K11-K13)/K8)/3</f>
        <v>0.1928635839203026</v>
      </c>
      <c r="O54" s="75">
        <f>((N9+N11-N13)/N8+(M9+M11-M13)/M8+(L9+L11-L13)/L8)/3</f>
        <v>0.19360443756730997</v>
      </c>
      <c r="P54" s="75">
        <f>((O9+O11-O13)/O8+(N9+N11-N13)/N8+(M9+M11-M13)/M8)/3</f>
        <v>0.1943446497305036</v>
      </c>
      <c r="Q54" s="75">
        <f>((P9+P11-P13)/P8+(O9+O11-O13)/O8+(N9+N11-N13)/N8)/3</f>
        <v>0.19508422089461694</v>
      </c>
      <c r="R54" s="75">
        <f>((Q9+Q11-Q13)/Q8+(P9+P11-P13)/P8+(O9+O11-O13)/O8)/3</f>
        <v>0.19582315154414728</v>
      </c>
      <c r="S54" s="75">
        <f>((R9+R11-R13)/R8+(Q9+Q11-Q13)/Q8+(P9+P11-P13)/P8)/3</f>
        <v>0.1965614421633557</v>
      </c>
      <c r="T54" s="75">
        <f>((S9+S11-S13)/S8+(R9+R11-R13)/R8+(Q9+Q11-Q13)/Q8)/3</f>
        <v>0.19729909323626693</v>
      </c>
      <c r="U54" s="75">
        <f>((T9+T11-T13)/T8+(S9+S11-S13)/S8+(R9+R11-R13)/R8)/3</f>
        <v>0.19803610524666923</v>
      </c>
      <c r="V54" s="75">
        <f>((U9+U11-U13)/U8+(T9+T11-T13)/T8+(S9+S11-S13)/S8)/3</f>
        <v>0.1987724786781142</v>
      </c>
      <c r="W54" s="75">
        <f>((V9+V11-V13)/V8+(U9+U11-U13)/U8+(T9+T11-T13)/T8)/3</f>
        <v>0.19950821401391675</v>
      </c>
      <c r="X54" s="75">
        <f>((W9+W11-W13)/W8+(V9+V11-V13)/V8+(U9+U11-U13)/U8)/3</f>
        <v>0.20024331173715484</v>
      </c>
      <c r="Y54" s="75">
        <f>((X9+X11-X13)/X8+(W9+W11-W13)/W8+(V9+V11-V13)/V8)/3</f>
        <v>0.20097777233066938</v>
      </c>
      <c r="Z54" s="75">
        <f>((Y9+Y11-Y13)/Y8+(X9+X11-X13)/X8+(W9+W11-W13)/W8)/3</f>
        <v>0.20171159627706425</v>
      </c>
    </row>
    <row r="55" spans="1:26" ht="48" customHeight="1">
      <c r="A55" s="59" t="s">
        <v>138</v>
      </c>
      <c r="B55" s="75" t="s">
        <v>14</v>
      </c>
      <c r="C55" s="75" t="s">
        <v>14</v>
      </c>
      <c r="D55" s="75" t="str">
        <f>IF(D45&lt;=D54,"TAK","NIE")</f>
        <v>TAK</v>
      </c>
      <c r="E55" s="75" t="str">
        <f>IF(E45&lt;=E54,"TAK","NIE")</f>
        <v>NIE</v>
      </c>
      <c r="F55" s="75" t="str">
        <f>IF(F45&lt;=F54,"TAK","NIE")</f>
        <v>TAK</v>
      </c>
      <c r="G55" s="75" t="str">
        <f>IF(G45&lt;=G54,"TAK","NIE")</f>
        <v>NIE</v>
      </c>
      <c r="H55" s="74" t="str">
        <f>IF(H45&lt;=H54,"TAK","NIE")</f>
        <v>TAK</v>
      </c>
      <c r="I55" s="74" t="str">
        <f>IF(I45&lt;=I54,"TAK","NIE")</f>
        <v>TAK</v>
      </c>
      <c r="J55" s="74" t="str">
        <f>IF(J45&lt;=J54,"TAK","NIE")</f>
        <v>TAK</v>
      </c>
      <c r="K55" s="74" t="str">
        <f>IF(K45&lt;=K54,"TAK","NIE")</f>
        <v>TAK</v>
      </c>
      <c r="L55" s="74" t="str">
        <f>IF(L45&lt;=L54,"TAK","NIE")</f>
        <v>TAK</v>
      </c>
      <c r="M55" s="74" t="str">
        <f>IF(M45&lt;=M54,"TAK","NIE")</f>
        <v>TAK</v>
      </c>
      <c r="N55" s="74" t="str">
        <f>IF(N45&lt;=N54,"TAK","NIE")</f>
        <v>TAK</v>
      </c>
      <c r="O55" s="74" t="str">
        <f>IF(O45&lt;=O54,"TAK","NIE")</f>
        <v>TAK</v>
      </c>
      <c r="P55" s="74" t="str">
        <f>IF(P45&lt;=P54,"TAK","NIE")</f>
        <v>TAK</v>
      </c>
      <c r="Q55" s="75" t="str">
        <f>IF(Q45&lt;=Q54,"TAK","NIE")</f>
        <v>TAK</v>
      </c>
      <c r="R55" s="75" t="str">
        <f>IF(R45&lt;=R54,"TAK","NIE")</f>
        <v>TAK</v>
      </c>
      <c r="S55" s="75" t="str">
        <f>IF(S45&lt;=S54,"TAK","NIE")</f>
        <v>TAK</v>
      </c>
      <c r="T55" s="75" t="str">
        <f>IF(T45&lt;=T54,"TAK","NIE")</f>
        <v>TAK</v>
      </c>
      <c r="U55" s="75" t="str">
        <f>IF(U45&lt;=U54,"TAK","NIE")</f>
        <v>TAK</v>
      </c>
      <c r="V55" s="75" t="str">
        <f>IF(V45&lt;=V54,"TAK","NIE")</f>
        <v>TAK</v>
      </c>
      <c r="W55" s="75" t="str">
        <f>IF(W45&lt;=W54,"TAK","NIE")</f>
        <v>TAK</v>
      </c>
      <c r="X55" s="75" t="str">
        <f>IF(X45&lt;=X54,"TAK","NIE")</f>
        <v>TAK</v>
      </c>
      <c r="Y55" s="75" t="str">
        <f>IF(Y45&lt;=Y54,"TAK","NIE")</f>
        <v>TAK</v>
      </c>
      <c r="Z55" s="75" t="str">
        <f>IF(Z45&lt;=Z54,"TAK","NIE")</f>
        <v>TAK</v>
      </c>
    </row>
    <row r="56" spans="1:26" ht="12.75">
      <c r="A56" t="s">
        <v>53</v>
      </c>
      <c r="B56" s="40"/>
      <c r="C56" s="40"/>
      <c r="D56" s="81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82"/>
      <c r="X56" s="82"/>
      <c r="Y56" s="82"/>
      <c r="Z56" s="40"/>
    </row>
    <row r="57" spans="2:26" ht="12.75">
      <c r="B57" s="40"/>
      <c r="C57" s="40"/>
      <c r="D57" s="81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82"/>
      <c r="X57" s="82"/>
      <c r="Y57" s="82"/>
      <c r="Z57" s="40"/>
    </row>
    <row r="58" spans="1:26" ht="12.75">
      <c r="A58" s="40"/>
      <c r="B58" s="40"/>
      <c r="C58" s="40"/>
      <c r="D58" s="81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83"/>
      <c r="X58" s="83"/>
      <c r="Y58" s="83"/>
      <c r="Z58" s="83"/>
    </row>
    <row r="59" spans="1:26" ht="12.75">
      <c r="A59" s="40"/>
      <c r="B59" s="40"/>
      <c r="C59" s="40"/>
      <c r="D59" s="81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2.75">
      <c r="A60" s="40"/>
      <c r="B60" s="40"/>
      <c r="C60" s="40"/>
      <c r="D60" s="81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83"/>
      <c r="X60" s="83"/>
      <c r="Y60" s="83"/>
      <c r="Z60" s="83"/>
    </row>
    <row r="61" spans="1:26" ht="90" customHeight="1">
      <c r="A61" s="84" t="s">
        <v>139</v>
      </c>
      <c r="B61" s="84"/>
      <c r="C61" s="84"/>
      <c r="D61" s="84"/>
      <c r="E61" s="84"/>
      <c r="F61" s="84"/>
      <c r="G61" s="84"/>
      <c r="H61" s="84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24.75" customHeight="1">
      <c r="A62" s="84"/>
      <c r="B62" s="84"/>
      <c r="C62" s="84"/>
      <c r="D62" s="84"/>
      <c r="E62" s="84"/>
      <c r="F62" s="84"/>
      <c r="G62" s="84"/>
      <c r="H62" s="84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2.75">
      <c r="A63" s="85"/>
      <c r="B63" s="85"/>
      <c r="C63" s="85"/>
      <c r="D63" s="85"/>
      <c r="E63" s="85"/>
      <c r="F63" s="85"/>
      <c r="G63" s="85"/>
      <c r="H63" s="85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2.75">
      <c r="A64" s="85"/>
      <c r="B64" s="85"/>
      <c r="C64" s="85"/>
      <c r="D64" s="85"/>
      <c r="E64" s="85"/>
      <c r="F64" s="85"/>
      <c r="G64" s="85"/>
      <c r="H64" s="85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2.75">
      <c r="A65" s="86" t="s">
        <v>140</v>
      </c>
      <c r="B65" s="40"/>
      <c r="C65" s="40"/>
      <c r="D65" s="81"/>
      <c r="E65" s="87">
        <f>SUM(E9-E13+E25)</f>
        <v>13051089.030000001</v>
      </c>
      <c r="F65" s="87">
        <f>SUM(F9-F13+F25)</f>
        <v>394168.5200000033</v>
      </c>
      <c r="G65" s="87">
        <f>SUM(G9-G13+G25)</f>
        <v>11683229.240030006</v>
      </c>
      <c r="H65" s="87">
        <f>SUM(H9-H13+H25)</f>
        <v>12073192.646470934</v>
      </c>
      <c r="I65" s="87">
        <f>SUM(I9-I13+I25)</f>
        <v>12476775.917511538</v>
      </c>
      <c r="J65" s="87">
        <f>SUM(J9-J13+J25)</f>
        <v>12894447.198924392</v>
      </c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2.75">
      <c r="A66" s="40"/>
      <c r="B66" s="40"/>
      <c r="C66" s="40"/>
      <c r="D66" s="81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2.75">
      <c r="A67" s="40"/>
      <c r="B67" s="40"/>
      <c r="C67" s="40"/>
      <c r="D67" s="81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2.75">
      <c r="A68" s="40"/>
      <c r="B68" s="40"/>
      <c r="C68" s="40"/>
      <c r="D68" s="81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2.75">
      <c r="A69" s="40"/>
      <c r="B69" s="40"/>
      <c r="C69" s="40"/>
      <c r="D69" s="81">
        <v>2010</v>
      </c>
      <c r="E69" s="40">
        <v>2011</v>
      </c>
      <c r="F69" s="40">
        <v>2012</v>
      </c>
      <c r="G69" s="40">
        <v>2013</v>
      </c>
      <c r="H69" s="40">
        <v>2014</v>
      </c>
      <c r="I69" s="40">
        <v>2015</v>
      </c>
      <c r="J69" s="40">
        <v>2016</v>
      </c>
      <c r="K69" s="40">
        <v>2017</v>
      </c>
      <c r="L69" s="40">
        <v>2018</v>
      </c>
      <c r="M69" s="40">
        <v>2019</v>
      </c>
      <c r="N69" s="40">
        <v>2020</v>
      </c>
      <c r="O69" s="40">
        <v>2021</v>
      </c>
      <c r="P69" s="40">
        <v>2022</v>
      </c>
      <c r="Q69" s="40">
        <v>2023</v>
      </c>
      <c r="R69" s="40">
        <v>2024</v>
      </c>
      <c r="S69" s="40">
        <v>2025</v>
      </c>
      <c r="T69" s="40">
        <v>2026</v>
      </c>
      <c r="U69" s="40">
        <v>2027</v>
      </c>
      <c r="V69" s="40">
        <v>2028</v>
      </c>
      <c r="W69" s="40">
        <v>2029</v>
      </c>
      <c r="X69" s="40">
        <v>2030</v>
      </c>
      <c r="Y69" s="40">
        <v>2031</v>
      </c>
      <c r="Z69" s="40">
        <v>2032</v>
      </c>
    </row>
    <row r="70" spans="1:26" ht="51" customHeight="1">
      <c r="A70" s="46" t="s">
        <v>141</v>
      </c>
      <c r="B70" s="88" t="s">
        <v>142</v>
      </c>
      <c r="C70" s="88"/>
      <c r="D70" s="89">
        <v>6476116.28</v>
      </c>
      <c r="E70" s="89">
        <f>6671237.45+29896.55</f>
        <v>6701134</v>
      </c>
      <c r="F70" s="89">
        <f>7075113.44-29896.55</f>
        <v>7045216.890000001</v>
      </c>
      <c r="G70" s="89">
        <v>4964286.04</v>
      </c>
      <c r="H70" s="89">
        <v>4964286.84</v>
      </c>
      <c r="I70" s="89">
        <v>2562422.84</v>
      </c>
      <c r="J70" s="89">
        <v>2562422.84</v>
      </c>
      <c r="K70" s="89">
        <v>2562422.84</v>
      </c>
      <c r="L70" s="89">
        <v>2562422.84</v>
      </c>
      <c r="M70" s="89">
        <v>2562431.84</v>
      </c>
      <c r="N70" s="89">
        <v>1547478.73</v>
      </c>
      <c r="O70" s="90"/>
      <c r="P70" s="91"/>
      <c r="Q70" s="92"/>
      <c r="R70" s="92"/>
      <c r="S70" s="92"/>
      <c r="T70" s="92"/>
      <c r="U70" s="92"/>
      <c r="V70" s="92"/>
      <c r="W70" s="92"/>
      <c r="X70" s="92"/>
      <c r="Y70" s="92"/>
      <c r="Z70" s="92"/>
    </row>
    <row r="71" spans="1:27" ht="15">
      <c r="A71" s="46"/>
      <c r="B71" s="93" t="s">
        <v>143</v>
      </c>
      <c r="C71" s="89">
        <f>E18</f>
        <v>9201048</v>
      </c>
      <c r="D71" s="94">
        <v>0</v>
      </c>
      <c r="E71" s="94">
        <v>0</v>
      </c>
      <c r="F71" s="94">
        <v>235924</v>
      </c>
      <c r="G71" s="94">
        <v>471848</v>
      </c>
      <c r="H71" s="94">
        <v>471848</v>
      </c>
      <c r="I71" s="94">
        <v>471848</v>
      </c>
      <c r="J71" s="94">
        <v>471848</v>
      </c>
      <c r="K71" s="94">
        <v>471848</v>
      </c>
      <c r="L71" s="94">
        <v>471848</v>
      </c>
      <c r="M71" s="94">
        <v>471848</v>
      </c>
      <c r="N71" s="94">
        <v>471848</v>
      </c>
      <c r="O71" s="94">
        <v>471848</v>
      </c>
      <c r="P71" s="94">
        <v>471848</v>
      </c>
      <c r="Q71" s="94">
        <v>471848</v>
      </c>
      <c r="R71" s="94">
        <v>471848</v>
      </c>
      <c r="S71" s="94">
        <v>471848</v>
      </c>
      <c r="T71" s="94">
        <v>471848</v>
      </c>
      <c r="U71" s="94">
        <v>471848</v>
      </c>
      <c r="V71" s="94">
        <v>471848</v>
      </c>
      <c r="W71" s="94">
        <v>471848</v>
      </c>
      <c r="X71" s="94">
        <v>471848</v>
      </c>
      <c r="Y71" s="94">
        <v>471860</v>
      </c>
      <c r="Z71" s="94"/>
      <c r="AA71" s="95">
        <f>SUM(F71:Y71)</f>
        <v>9201048</v>
      </c>
    </row>
    <row r="72" spans="1:27" ht="18" customHeight="1">
      <c r="A72" s="46"/>
      <c r="B72" s="40" t="s">
        <v>144</v>
      </c>
      <c r="C72" s="96">
        <f>F18</f>
        <v>8373827.890000001</v>
      </c>
      <c r="D72" s="92">
        <v>0</v>
      </c>
      <c r="E72" s="92">
        <v>0</v>
      </c>
      <c r="F72" s="92">
        <v>0</v>
      </c>
      <c r="G72" s="92">
        <f>SUM(C72/20)</f>
        <v>418691.39450000005</v>
      </c>
      <c r="H72" s="92">
        <f>G72</f>
        <v>418691.39450000005</v>
      </c>
      <c r="I72" s="92">
        <f>H72</f>
        <v>418691.39450000005</v>
      </c>
      <c r="J72" s="92">
        <f>I72</f>
        <v>418691.39450000005</v>
      </c>
      <c r="K72" s="92">
        <f>J72</f>
        <v>418691.39450000005</v>
      </c>
      <c r="L72" s="92">
        <f>K72</f>
        <v>418691.39450000005</v>
      </c>
      <c r="M72" s="92">
        <f>L72</f>
        <v>418691.39450000005</v>
      </c>
      <c r="N72" s="92">
        <f>M72</f>
        <v>418691.39450000005</v>
      </c>
      <c r="O72" s="92">
        <f>N72</f>
        <v>418691.39450000005</v>
      </c>
      <c r="P72" s="92">
        <f>O72</f>
        <v>418691.39450000005</v>
      </c>
      <c r="Q72" s="92">
        <f>P72</f>
        <v>418691.39450000005</v>
      </c>
      <c r="R72" s="92">
        <f>Q72</f>
        <v>418691.39450000005</v>
      </c>
      <c r="S72" s="92">
        <f>R72</f>
        <v>418691.39450000005</v>
      </c>
      <c r="T72" s="92">
        <f>S72</f>
        <v>418691.39450000005</v>
      </c>
      <c r="U72" s="92">
        <f>T72</f>
        <v>418691.39450000005</v>
      </c>
      <c r="V72" s="92">
        <f>U72</f>
        <v>418691.39450000005</v>
      </c>
      <c r="W72" s="92">
        <f>V72</f>
        <v>418691.39450000005</v>
      </c>
      <c r="X72" s="92">
        <f>W72</f>
        <v>418691.39450000005</v>
      </c>
      <c r="Y72" s="92">
        <f>X72</f>
        <v>418691.39450000005</v>
      </c>
      <c r="Z72" s="92">
        <f>Y72</f>
        <v>418691.39450000005</v>
      </c>
      <c r="AA72" s="95">
        <f>SUM(G72:Z72)</f>
        <v>8373827.890000003</v>
      </c>
    </row>
    <row r="73" spans="1:26" ht="12.75">
      <c r="A73" s="40"/>
      <c r="B73" s="40"/>
      <c r="C73" s="40"/>
      <c r="D73" s="81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2.75">
      <c r="A74" s="40"/>
      <c r="B74" s="40"/>
      <c r="C74" s="40"/>
      <c r="D74" s="81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2.75">
      <c r="A75" s="40"/>
      <c r="B75" s="97" t="s">
        <v>145</v>
      </c>
      <c r="C75" s="97"/>
      <c r="D75" s="81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2.75">
      <c r="A76" s="40"/>
      <c r="B76" s="40"/>
      <c r="C76" s="40"/>
      <c r="D76" s="81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43.5" customHeight="1">
      <c r="A77" s="46" t="s">
        <v>146</v>
      </c>
      <c r="B77" s="98" t="s">
        <v>147</v>
      </c>
      <c r="C77" s="98"/>
      <c r="D77" s="89">
        <v>1661049</v>
      </c>
      <c r="E77" s="89">
        <v>1661049</v>
      </c>
      <c r="F77" s="89">
        <v>894882</v>
      </c>
      <c r="G77" s="89">
        <v>695132</v>
      </c>
      <c r="H77" s="89">
        <v>695132</v>
      </c>
      <c r="I77" s="89">
        <v>471415</v>
      </c>
      <c r="J77" s="89">
        <v>471415</v>
      </c>
      <c r="K77" s="89">
        <v>471415</v>
      </c>
      <c r="L77" s="89">
        <v>471415</v>
      </c>
      <c r="M77" s="89">
        <v>471418</v>
      </c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</row>
    <row r="78" spans="1:26" ht="15">
      <c r="A78" s="40"/>
      <c r="B78" s="40" t="s">
        <v>148</v>
      </c>
      <c r="C78" s="99">
        <f>D19</f>
        <v>3134809</v>
      </c>
      <c r="D78" s="94"/>
      <c r="E78" s="94">
        <v>313480.9</v>
      </c>
      <c r="F78" s="94">
        <v>313480.9</v>
      </c>
      <c r="G78" s="94">
        <v>313480.9</v>
      </c>
      <c r="H78" s="94">
        <v>313480.9</v>
      </c>
      <c r="I78" s="94">
        <v>313480.9</v>
      </c>
      <c r="J78" s="94">
        <v>313480.9</v>
      </c>
      <c r="K78" s="94">
        <v>313480.9</v>
      </c>
      <c r="L78" s="94">
        <v>313480.9</v>
      </c>
      <c r="M78" s="94">
        <v>313480.9</v>
      </c>
      <c r="N78" s="94">
        <v>313480.9</v>
      </c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2"/>
    </row>
    <row r="79" spans="1:27" ht="15">
      <c r="A79" s="46"/>
      <c r="B79" s="93" t="s">
        <v>143</v>
      </c>
      <c r="C79" s="99">
        <f>E19</f>
        <v>1466212</v>
      </c>
      <c r="D79" s="94"/>
      <c r="E79" s="94"/>
      <c r="F79" s="94">
        <v>37594</v>
      </c>
      <c r="G79" s="94">
        <v>75188</v>
      </c>
      <c r="H79" s="94">
        <v>75188</v>
      </c>
      <c r="I79" s="94">
        <v>75188</v>
      </c>
      <c r="J79" s="94">
        <v>75188</v>
      </c>
      <c r="K79" s="94">
        <v>75188</v>
      </c>
      <c r="L79" s="94">
        <v>75188</v>
      </c>
      <c r="M79" s="94">
        <v>75188</v>
      </c>
      <c r="N79" s="94">
        <v>75188</v>
      </c>
      <c r="O79" s="94">
        <v>75188</v>
      </c>
      <c r="P79" s="94">
        <v>75188</v>
      </c>
      <c r="Q79" s="94">
        <v>75188</v>
      </c>
      <c r="R79" s="94">
        <v>75188</v>
      </c>
      <c r="S79" s="94">
        <v>75188</v>
      </c>
      <c r="T79" s="94">
        <v>75188</v>
      </c>
      <c r="U79" s="94">
        <v>75188</v>
      </c>
      <c r="V79" s="94">
        <v>75188</v>
      </c>
      <c r="W79" s="94">
        <v>75188</v>
      </c>
      <c r="X79" s="94">
        <v>75188</v>
      </c>
      <c r="Y79" s="94">
        <v>75234</v>
      </c>
      <c r="Z79" s="92"/>
      <c r="AA79" s="95">
        <f>SUM(F79:Y79)</f>
        <v>1466212</v>
      </c>
    </row>
    <row r="80" spans="1:26" ht="15">
      <c r="A80" s="46"/>
      <c r="B80" s="40" t="s">
        <v>144</v>
      </c>
      <c r="C80" s="96">
        <f>F19</f>
        <v>2632687</v>
      </c>
      <c r="D80" s="92"/>
      <c r="E80" s="92"/>
      <c r="F80" s="92"/>
      <c r="G80" s="92">
        <f>SUM($C80/20)</f>
        <v>131634.35</v>
      </c>
      <c r="H80" s="92">
        <f>SUM($C80/20)</f>
        <v>131634.35</v>
      </c>
      <c r="I80" s="92">
        <f>SUM($C80/20)</f>
        <v>131634.35</v>
      </c>
      <c r="J80" s="92">
        <f>SUM($C80/20)</f>
        <v>131634.35</v>
      </c>
      <c r="K80" s="92">
        <f>SUM($C80/20)</f>
        <v>131634.35</v>
      </c>
      <c r="L80" s="92">
        <f>SUM($C80/20)</f>
        <v>131634.35</v>
      </c>
      <c r="M80" s="92">
        <f>SUM($C80/20)</f>
        <v>131634.35</v>
      </c>
      <c r="N80" s="92">
        <f>SUM($C80/20)</f>
        <v>131634.35</v>
      </c>
      <c r="O80" s="92">
        <f>SUM($C80/20)</f>
        <v>131634.35</v>
      </c>
      <c r="P80" s="92">
        <f>SUM($C80/20)</f>
        <v>131634.35</v>
      </c>
      <c r="Q80" s="92">
        <f>SUM($C80/20)</f>
        <v>131634.35</v>
      </c>
      <c r="R80" s="92">
        <f>SUM($C80/20)</f>
        <v>131634.35</v>
      </c>
      <c r="S80" s="92">
        <f>SUM($C80/20)</f>
        <v>131634.35</v>
      </c>
      <c r="T80" s="92">
        <f>SUM($C80/20)</f>
        <v>131634.35</v>
      </c>
      <c r="U80" s="92">
        <f>SUM($C80/20)</f>
        <v>131634.35</v>
      </c>
      <c r="V80" s="92">
        <f>SUM($C80/20)</f>
        <v>131634.35</v>
      </c>
      <c r="W80" s="92">
        <f>SUM($C80/20)</f>
        <v>131634.35</v>
      </c>
      <c r="X80" s="92">
        <f>SUM($C80/20)</f>
        <v>131634.35</v>
      </c>
      <c r="Y80" s="92">
        <f>SUM($C80/20)</f>
        <v>131634.35</v>
      </c>
      <c r="Z80" s="92">
        <f>SUM($C80/20)</f>
        <v>131634.35</v>
      </c>
    </row>
    <row r="81" spans="1:26" ht="12.75">
      <c r="A81" s="40"/>
      <c r="B81" s="40"/>
      <c r="C81" s="40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</row>
    <row r="82" spans="1:26" ht="12.75">
      <c r="A82" s="40"/>
      <c r="B82" s="40"/>
      <c r="C82" s="40"/>
      <c r="D82" s="81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2.75">
      <c r="A83" s="40"/>
      <c r="B83" s="40"/>
      <c r="C83" s="40"/>
      <c r="D83" s="81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5" spans="5:11" ht="15">
      <c r="E85" s="100"/>
      <c r="F85" s="100"/>
      <c r="G85" s="100"/>
      <c r="H85" s="100"/>
      <c r="I85" s="100"/>
      <c r="J85" s="100"/>
      <c r="K85" s="100"/>
    </row>
    <row r="86" spans="5:10" ht="15">
      <c r="E86" s="100"/>
      <c r="F86" s="100"/>
      <c r="G86" s="100"/>
      <c r="H86" s="100"/>
      <c r="I86" s="100"/>
      <c r="J86" s="100"/>
    </row>
  </sheetData>
  <sheetProtection selectLockedCells="1" selectUnlockedCells="1"/>
  <mergeCells count="16">
    <mergeCell ref="X1:Z1"/>
    <mergeCell ref="Y2:Z2"/>
    <mergeCell ref="X3:Z3"/>
    <mergeCell ref="X4:Z4"/>
    <mergeCell ref="Y5:Z5"/>
    <mergeCell ref="A6:Z6"/>
    <mergeCell ref="W56:Y56"/>
    <mergeCell ref="W57:Y57"/>
    <mergeCell ref="W58:Z58"/>
    <mergeCell ref="W60:Z60"/>
    <mergeCell ref="A61:H62"/>
    <mergeCell ref="A63:H63"/>
    <mergeCell ref="A64:H64"/>
    <mergeCell ref="B70:C70"/>
    <mergeCell ref="B75:C75"/>
    <mergeCell ref="B77:C77"/>
  </mergeCells>
  <printOptions/>
  <pageMargins left="0.39375" right="0.19652777777777777" top="0.19652777777777777" bottom="0.4722222222222222" header="0.5118055555555555" footer="0.5118055555555555"/>
  <pageSetup firstPageNumber="1" useFirstPageNumber="1" horizontalDpi="300" verticalDpi="300" orientation="landscape" paperSize="8" scale="48"/>
</worksheet>
</file>

<file path=xl/worksheets/sheet3.xml><?xml version="1.0" encoding="utf-8"?>
<worksheet xmlns="http://schemas.openxmlformats.org/spreadsheetml/2006/main" xmlns:r="http://schemas.openxmlformats.org/officeDocument/2006/relationships">
  <dimension ref="B1:P88"/>
  <sheetViews>
    <sheetView tabSelected="1" workbookViewId="0" topLeftCell="C1">
      <pane ySplit="6" topLeftCell="A7" activePane="bottomLeft" state="frozen"/>
      <selection pane="topLeft" activeCell="C1" sqref="C1"/>
      <selection pane="bottomLeft" activeCell="H25" sqref="H25"/>
    </sheetView>
  </sheetViews>
  <sheetFormatPr defaultColWidth="9.140625" defaultRowHeight="12.75"/>
  <cols>
    <col min="1" max="1" width="3.7109375" style="0" customWidth="1"/>
    <col min="2" max="2" width="2.7109375" style="0" customWidth="1"/>
    <col min="3" max="3" width="56.00390625" style="0" customWidth="1"/>
    <col min="4" max="4" width="13.140625" style="0" customWidth="1"/>
    <col min="5" max="5" width="4.8515625" style="0" customWidth="1"/>
    <col min="6" max="6" width="6.421875" style="0" customWidth="1"/>
    <col min="7" max="7" width="14.140625" style="0" customWidth="1"/>
    <col min="8" max="9" width="14.28125" style="0" customWidth="1"/>
    <col min="10" max="10" width="14.7109375" style="0" customWidth="1"/>
    <col min="11" max="12" width="13.421875" style="0" customWidth="1"/>
    <col min="13" max="16384" width="9.28125" style="0" customWidth="1"/>
  </cols>
  <sheetData>
    <row r="1" spans="3:12" s="101" customFormat="1" ht="14.25" customHeight="1">
      <c r="C1" s="102"/>
      <c r="D1" s="102"/>
      <c r="E1" s="102"/>
      <c r="F1" s="102"/>
      <c r="G1" s="102"/>
      <c r="H1" s="102"/>
      <c r="I1" s="102"/>
      <c r="J1" s="5" t="s">
        <v>149</v>
      </c>
      <c r="K1" s="5"/>
      <c r="L1" s="5"/>
    </row>
    <row r="2" spans="3:12" s="101" customFormat="1" ht="15" customHeight="1">
      <c r="C2" s="102"/>
      <c r="D2" s="102"/>
      <c r="E2" s="102"/>
      <c r="F2" s="102"/>
      <c r="G2" s="102"/>
      <c r="H2" s="102"/>
      <c r="I2" s="102"/>
      <c r="J2" s="103" t="s">
        <v>150</v>
      </c>
      <c r="K2" s="103" t="s">
        <v>151</v>
      </c>
      <c r="L2" s="103"/>
    </row>
    <row r="3" spans="3:12" s="101" customFormat="1" ht="12.75" customHeight="1">
      <c r="C3" s="102"/>
      <c r="D3" s="102"/>
      <c r="E3" s="102"/>
      <c r="F3" s="102"/>
      <c r="G3" s="102"/>
      <c r="H3" s="102"/>
      <c r="I3" s="102"/>
      <c r="J3" s="103" t="s">
        <v>63</v>
      </c>
      <c r="K3" s="103"/>
      <c r="L3" s="103"/>
    </row>
    <row r="4" spans="3:12" s="101" customFormat="1" ht="12" customHeight="1">
      <c r="C4" s="102"/>
      <c r="D4" s="102"/>
      <c r="E4" s="102"/>
      <c r="F4" s="102"/>
      <c r="G4" s="102"/>
      <c r="H4" s="102"/>
      <c r="I4" s="102"/>
      <c r="J4" s="103" t="s">
        <v>152</v>
      </c>
      <c r="K4" s="103"/>
      <c r="L4" s="103"/>
    </row>
    <row r="5" spans="3:12" s="101" customFormat="1" ht="8.25" customHeight="1">
      <c r="C5" s="102"/>
      <c r="D5" s="102"/>
      <c r="E5" s="102"/>
      <c r="F5" s="102"/>
      <c r="G5" s="102"/>
      <c r="H5" s="102"/>
      <c r="I5" s="102"/>
      <c r="J5" s="104"/>
      <c r="K5" s="104"/>
      <c r="L5" s="104"/>
    </row>
    <row r="6" spans="3:12" s="101" customFormat="1" ht="19.5">
      <c r="C6" s="105" t="s">
        <v>153</v>
      </c>
      <c r="D6" s="105"/>
      <c r="E6" s="105"/>
      <c r="F6" s="105"/>
      <c r="G6" s="105"/>
      <c r="H6" s="105"/>
      <c r="I6" s="105"/>
      <c r="J6" s="105" t="s">
        <v>63</v>
      </c>
      <c r="K6" s="105"/>
      <c r="L6" s="105"/>
    </row>
    <row r="7" s="101" customFormat="1" ht="7.5" customHeight="1"/>
    <row r="8" spans="2:12" s="101" customFormat="1" ht="73.5" customHeight="1">
      <c r="B8" s="106" t="s">
        <v>2</v>
      </c>
      <c r="C8" s="106" t="s">
        <v>154</v>
      </c>
      <c r="D8" s="106" t="s">
        <v>155</v>
      </c>
      <c r="E8" s="106" t="s">
        <v>156</v>
      </c>
      <c r="F8" s="106"/>
      <c r="G8" s="106" t="s">
        <v>157</v>
      </c>
      <c r="H8" s="106" t="s">
        <v>158</v>
      </c>
      <c r="I8" s="106"/>
      <c r="J8" s="106"/>
      <c r="K8" s="106"/>
      <c r="L8" s="106" t="s">
        <v>159</v>
      </c>
    </row>
    <row r="9" spans="2:12" s="101" customFormat="1" ht="9" customHeight="1">
      <c r="B9" s="106"/>
      <c r="C9" s="106"/>
      <c r="D9" s="106"/>
      <c r="E9" s="106" t="s">
        <v>160</v>
      </c>
      <c r="F9" s="106" t="s">
        <v>161</v>
      </c>
      <c r="G9" s="106"/>
      <c r="H9" s="106">
        <v>2012</v>
      </c>
      <c r="I9" s="106">
        <v>2013</v>
      </c>
      <c r="J9" s="106">
        <v>2014</v>
      </c>
      <c r="K9" s="106">
        <v>2015</v>
      </c>
      <c r="L9" s="106"/>
    </row>
    <row r="10" spans="2:12" s="101" customFormat="1" ht="11.25">
      <c r="B10" s="107">
        <v>1</v>
      </c>
      <c r="C10" s="107">
        <v>2</v>
      </c>
      <c r="D10" s="107">
        <v>3</v>
      </c>
      <c r="E10" s="107">
        <v>4</v>
      </c>
      <c r="F10" s="107">
        <v>5</v>
      </c>
      <c r="G10" s="107">
        <v>6</v>
      </c>
      <c r="H10" s="107">
        <v>7</v>
      </c>
      <c r="I10" s="107">
        <v>8</v>
      </c>
      <c r="J10" s="107">
        <v>9</v>
      </c>
      <c r="K10" s="107">
        <v>10</v>
      </c>
      <c r="L10" s="107">
        <v>11</v>
      </c>
    </row>
    <row r="11" spans="2:12" s="108" customFormat="1" ht="30.75" customHeight="1">
      <c r="B11" s="109"/>
      <c r="C11" s="110" t="s">
        <v>162</v>
      </c>
      <c r="D11" s="110"/>
      <c r="E11" s="110"/>
      <c r="F11" s="110"/>
      <c r="G11" s="111">
        <f>SUM(G12,G13)</f>
        <v>63412615.75</v>
      </c>
      <c r="H11" s="111">
        <f>SUM(H12,H13)</f>
        <v>28745464</v>
      </c>
      <c r="I11" s="111">
        <f>SUM(I12,I13)</f>
        <v>5003847</v>
      </c>
      <c r="J11" s="111">
        <f>SUM(J12,J13)</f>
        <v>1530000</v>
      </c>
      <c r="K11" s="111">
        <f>SUM(K12,K13)</f>
        <v>1500000</v>
      </c>
      <c r="L11" s="111">
        <f>SUM(L12,L13)</f>
        <v>0</v>
      </c>
    </row>
    <row r="12" spans="2:12" s="112" customFormat="1" ht="17.25">
      <c r="B12" s="113"/>
      <c r="C12" s="114" t="s">
        <v>163</v>
      </c>
      <c r="D12" s="114"/>
      <c r="E12" s="114"/>
      <c r="F12" s="114"/>
      <c r="G12" s="115">
        <f>SUM(G15,G78,G83)</f>
        <v>1861833.32</v>
      </c>
      <c r="H12" s="115">
        <f>SUM(H15,H78,H81)</f>
        <v>1500035</v>
      </c>
      <c r="I12" s="115">
        <f>SUM(I15,I78,I81)</f>
        <v>1055620</v>
      </c>
      <c r="J12" s="115">
        <f>SUM(J15,J78,J81)</f>
        <v>30000</v>
      </c>
      <c r="K12" s="115">
        <f>SUM(K15,K78,K81)</f>
        <v>0</v>
      </c>
      <c r="L12" s="115">
        <f>SUM(L15,L78,L83)</f>
        <v>0</v>
      </c>
    </row>
    <row r="13" spans="2:16" s="112" customFormat="1" ht="17.25">
      <c r="B13" s="113"/>
      <c r="C13" s="114" t="s">
        <v>164</v>
      </c>
      <c r="D13" s="114"/>
      <c r="E13" s="114"/>
      <c r="F13" s="114"/>
      <c r="G13" s="115">
        <f>SUM(G16,G79)</f>
        <v>61550782.43</v>
      </c>
      <c r="H13" s="115">
        <f>SUM(H16,H79)</f>
        <v>27245429</v>
      </c>
      <c r="I13" s="115">
        <f>SUM(I16,I79)</f>
        <v>3948227</v>
      </c>
      <c r="J13" s="115">
        <f>SUM(J16,J79)</f>
        <v>1500000</v>
      </c>
      <c r="K13" s="115">
        <f>SUM(K16,K79)</f>
        <v>1500000</v>
      </c>
      <c r="L13" s="115">
        <f>SUM(L16,L79)</f>
        <v>0</v>
      </c>
      <c r="M13" s="116"/>
      <c r="N13" s="116"/>
      <c r="O13" s="116"/>
      <c r="P13" s="116"/>
    </row>
    <row r="14" spans="2:12" s="112" customFormat="1" ht="15">
      <c r="B14" s="113"/>
      <c r="C14" s="117" t="s">
        <v>165</v>
      </c>
      <c r="D14" s="117"/>
      <c r="E14" s="117"/>
      <c r="F14" s="117"/>
      <c r="G14" s="118">
        <f>SUM(G15,G16)</f>
        <v>62712615.75</v>
      </c>
      <c r="H14" s="118">
        <f>SUM(H15,H16)</f>
        <v>27553464</v>
      </c>
      <c r="I14" s="118">
        <f>SUM(I15,I16)</f>
        <v>4003847</v>
      </c>
      <c r="J14" s="118">
        <f>SUM(J15,J16)</f>
        <v>1530000</v>
      </c>
      <c r="K14" s="118">
        <f>SUM(K15,K16)</f>
        <v>1500000</v>
      </c>
      <c r="L14" s="118">
        <f>SUM(L15,L16)</f>
        <v>0</v>
      </c>
    </row>
    <row r="15" spans="2:12" s="112" customFormat="1" ht="15">
      <c r="B15" s="113"/>
      <c r="C15" s="119" t="s">
        <v>163</v>
      </c>
      <c r="D15" s="119"/>
      <c r="E15" s="119"/>
      <c r="F15" s="119"/>
      <c r="G15" s="115">
        <f>SUM(G18,G60,G63)</f>
        <v>1161833.32</v>
      </c>
      <c r="H15" s="115">
        <f>SUM(H18,H60,H63)</f>
        <v>308035</v>
      </c>
      <c r="I15" s="115">
        <f>SUM(I18,I60,I63)</f>
        <v>55620</v>
      </c>
      <c r="J15" s="115">
        <f>SUM(J18,J60,J63)</f>
        <v>30000</v>
      </c>
      <c r="K15" s="115">
        <f>SUM(K18,K60,K63)</f>
        <v>0</v>
      </c>
      <c r="L15" s="115">
        <f>SUM(L18,L60,L63)</f>
        <v>0</v>
      </c>
    </row>
    <row r="16" spans="2:12" s="112" customFormat="1" ht="15">
      <c r="B16" s="113"/>
      <c r="C16" s="119" t="s">
        <v>164</v>
      </c>
      <c r="D16" s="119"/>
      <c r="E16" s="119"/>
      <c r="F16" s="119"/>
      <c r="G16" s="115">
        <f>SUM(G19,G61,G64)</f>
        <v>61550782.43</v>
      </c>
      <c r="H16" s="115">
        <f>SUM(H19,H61,H64)</f>
        <v>27245429</v>
      </c>
      <c r="I16" s="115">
        <f>SUM(I19,I61,I64)</f>
        <v>3948227</v>
      </c>
      <c r="J16" s="115">
        <f>SUM(J19,J61,J64)</f>
        <v>1500000</v>
      </c>
      <c r="K16" s="115">
        <f>SUM(K19,K61,K64)</f>
        <v>1500000</v>
      </c>
      <c r="L16" s="115">
        <f>SUM(L19,L61,L64)</f>
        <v>0</v>
      </c>
    </row>
    <row r="17" spans="2:12" s="120" customFormat="1" ht="30.75" customHeight="1">
      <c r="B17" s="121"/>
      <c r="C17" s="122" t="s">
        <v>166</v>
      </c>
      <c r="D17" s="122"/>
      <c r="E17" s="122"/>
      <c r="F17" s="122"/>
      <c r="G17" s="118">
        <f>SUM(G18,G19)</f>
        <v>54462615.75</v>
      </c>
      <c r="H17" s="118">
        <f>SUM(H18,H19)</f>
        <v>26132048</v>
      </c>
      <c r="I17" s="118">
        <f>SUM(I18,I19)</f>
        <v>342420</v>
      </c>
      <c r="J17" s="118">
        <f>SUM(J18,J19)</f>
        <v>30000</v>
      </c>
      <c r="K17" s="118">
        <f>SUM(K18,K19)</f>
        <v>0</v>
      </c>
      <c r="L17" s="118">
        <f>SUM(L18,L19)</f>
        <v>0</v>
      </c>
    </row>
    <row r="18" spans="2:12" s="120" customFormat="1" ht="13.5">
      <c r="B18" s="121"/>
      <c r="C18" s="123" t="s">
        <v>167</v>
      </c>
      <c r="D18" s="123"/>
      <c r="E18" s="123"/>
      <c r="F18" s="123"/>
      <c r="G18" s="115">
        <f>SUM(G21,G24,G27,G30,G33,G36,G39,G42,G45,G48,G51,G54,G57)</f>
        <v>1161833.32</v>
      </c>
      <c r="H18" s="115">
        <f>SUM(H21,H24,H27,H30,H33,H36,H39,H42,H45,H48,H51,H54,H57)</f>
        <v>308035</v>
      </c>
      <c r="I18" s="115">
        <f>SUM(I21,I24,I27,I30,I33,I36,I39,I42,I45,I48,I51,I54,I57)</f>
        <v>55620</v>
      </c>
      <c r="J18" s="115">
        <f>SUM(J21,J24,J27,J30,J33,J36,J39,J42,J45,J48,J51,J54,J57)</f>
        <v>30000</v>
      </c>
      <c r="K18" s="115">
        <f>SUM(K21,K24,K27,K30,K33,K36,K39,K42,K45,K48,K51,K54,K57)</f>
        <v>0</v>
      </c>
      <c r="L18" s="115">
        <f>SUM(L21,L24,L27,L30,L33,L36,L39,L42,L45,L48,L51,L54,L57)</f>
        <v>0</v>
      </c>
    </row>
    <row r="19" spans="2:12" s="120" customFormat="1" ht="13.5">
      <c r="B19" s="121"/>
      <c r="C19" s="123" t="s">
        <v>168</v>
      </c>
      <c r="D19" s="123"/>
      <c r="E19" s="123"/>
      <c r="F19" s="123"/>
      <c r="G19" s="115">
        <f>SUM(G22,G25,G28,G31,G34,G37,G40,G43,G46,G49,G52,G55,G58)</f>
        <v>53300782.43</v>
      </c>
      <c r="H19" s="115">
        <f>SUM(H22,H25,H28,H31,H34,H37,H40,H43,H46,H49,H52,H55,H58)</f>
        <v>25824013</v>
      </c>
      <c r="I19" s="115">
        <f>SUM(I22,I25,I28,I31,I34,I37,I40,I43,I46,I49,I52,I55,I58)</f>
        <v>286800</v>
      </c>
      <c r="J19" s="115">
        <f>SUM(J22,J25,J28,J31,J34,J37,J40,J43,J46,J49,J52,J55,J58)</f>
        <v>0</v>
      </c>
      <c r="K19" s="115">
        <f>SUM(K22,K25,K28,K31,K34,K37,K40,K43,K46,K49,K52,K55,K58)</f>
        <v>0</v>
      </c>
      <c r="L19" s="115">
        <f>SUM(L22,L25,L28,L31,L34,L37,L40,L43,L46,L49,L52,L55,L58)</f>
        <v>0</v>
      </c>
    </row>
    <row r="20" spans="2:12" s="120" customFormat="1" ht="88.5" customHeight="1">
      <c r="B20" s="121"/>
      <c r="C20" s="124" t="s">
        <v>169</v>
      </c>
      <c r="D20" s="125" t="s">
        <v>170</v>
      </c>
      <c r="E20" s="126">
        <v>2011</v>
      </c>
      <c r="F20" s="127">
        <v>2012</v>
      </c>
      <c r="G20" s="128">
        <f>SUM(G21:G22)</f>
        <v>6521671</v>
      </c>
      <c r="H20" s="128">
        <f>SUM(H21:H22)</f>
        <v>4477752</v>
      </c>
      <c r="I20" s="128">
        <f>SUM(I21:I22)</f>
        <v>0</v>
      </c>
      <c r="J20" s="128">
        <f>SUM(J21:J22)</f>
        <v>0</v>
      </c>
      <c r="K20" s="128">
        <f>SUM(K21:K22)</f>
        <v>0</v>
      </c>
      <c r="L20" s="128">
        <f>SUM(L21:L22)</f>
        <v>0</v>
      </c>
    </row>
    <row r="21" spans="2:12" s="120" customFormat="1" ht="13.5">
      <c r="B21" s="121"/>
      <c r="C21" s="123" t="s">
        <v>163</v>
      </c>
      <c r="D21" s="129"/>
      <c r="E21" s="130"/>
      <c r="F21" s="131"/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2">
        <v>0</v>
      </c>
    </row>
    <row r="22" spans="2:12" s="120" customFormat="1" ht="15.75" customHeight="1">
      <c r="B22" s="121"/>
      <c r="C22" s="123" t="s">
        <v>164</v>
      </c>
      <c r="D22" s="129"/>
      <c r="E22" s="130"/>
      <c r="F22" s="131"/>
      <c r="G22" s="132">
        <v>6521671</v>
      </c>
      <c r="H22" s="132">
        <v>4477752</v>
      </c>
      <c r="I22" s="132">
        <v>0</v>
      </c>
      <c r="J22" s="132">
        <v>0</v>
      </c>
      <c r="K22" s="132">
        <v>0</v>
      </c>
      <c r="L22" s="132">
        <v>0</v>
      </c>
    </row>
    <row r="23" spans="2:12" s="120" customFormat="1" ht="91.5" customHeight="1">
      <c r="B23" s="121"/>
      <c r="C23" s="124" t="s">
        <v>171</v>
      </c>
      <c r="D23" s="125" t="s">
        <v>170</v>
      </c>
      <c r="E23" s="126">
        <v>2010</v>
      </c>
      <c r="F23" s="127">
        <v>2012</v>
      </c>
      <c r="G23" s="128">
        <f>SUM(G24:G25)</f>
        <v>3260000</v>
      </c>
      <c r="H23" s="128">
        <f>SUM(H24:H25)</f>
        <v>435815</v>
      </c>
      <c r="I23" s="128">
        <f>SUM(I24:I25)</f>
        <v>0</v>
      </c>
      <c r="J23" s="128">
        <f>SUM(J24:J25)</f>
        <v>0</v>
      </c>
      <c r="K23" s="128">
        <f>SUM(K24:K25)</f>
        <v>0</v>
      </c>
      <c r="L23" s="128">
        <f>SUM(L24:L25)</f>
        <v>0</v>
      </c>
    </row>
    <row r="24" spans="2:12" s="120" customFormat="1" ht="13.5">
      <c r="B24" s="121"/>
      <c r="C24" s="123" t="s">
        <v>163</v>
      </c>
      <c r="D24" s="129"/>
      <c r="E24" s="130"/>
      <c r="F24" s="131"/>
      <c r="G24" s="133">
        <v>0</v>
      </c>
      <c r="H24" s="132">
        <v>0</v>
      </c>
      <c r="I24" s="132">
        <v>0</v>
      </c>
      <c r="J24" s="132">
        <v>0</v>
      </c>
      <c r="K24" s="132">
        <v>0</v>
      </c>
      <c r="L24" s="132">
        <v>0</v>
      </c>
    </row>
    <row r="25" spans="2:12" ht="13.5">
      <c r="B25" s="121"/>
      <c r="C25" s="123" t="s">
        <v>164</v>
      </c>
      <c r="D25" s="129"/>
      <c r="E25" s="130"/>
      <c r="F25" s="131"/>
      <c r="G25" s="132">
        <v>3260000</v>
      </c>
      <c r="H25" s="132">
        <v>435815</v>
      </c>
      <c r="I25" s="132">
        <v>0</v>
      </c>
      <c r="J25" s="132">
        <v>0</v>
      </c>
      <c r="K25" s="132">
        <v>0</v>
      </c>
      <c r="L25" s="132">
        <v>0</v>
      </c>
    </row>
    <row r="26" spans="2:12" ht="92.25" customHeight="1">
      <c r="B26" s="121"/>
      <c r="C26" s="124" t="s">
        <v>172</v>
      </c>
      <c r="D26" s="125" t="s">
        <v>170</v>
      </c>
      <c r="E26" s="126">
        <v>2008</v>
      </c>
      <c r="F26" s="127">
        <v>2012</v>
      </c>
      <c r="G26" s="128">
        <f>SUM(G27:G28)</f>
        <v>6837213</v>
      </c>
      <c r="H26" s="128">
        <f>SUM(H27:H28)</f>
        <v>3395104</v>
      </c>
      <c r="I26" s="128">
        <f>SUM(I27:I28)</f>
        <v>0</v>
      </c>
      <c r="J26" s="128">
        <f>SUM(J27:J28)</f>
        <v>0</v>
      </c>
      <c r="K26" s="128">
        <f>SUM(K27:K28)</f>
        <v>0</v>
      </c>
      <c r="L26" s="128">
        <f>SUM(L27:L28)</f>
        <v>0</v>
      </c>
    </row>
    <row r="27" spans="2:12" ht="13.5">
      <c r="B27" s="121"/>
      <c r="C27" s="123" t="s">
        <v>163</v>
      </c>
      <c r="D27" s="129"/>
      <c r="E27" s="130"/>
      <c r="F27" s="131"/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2">
        <v>0</v>
      </c>
    </row>
    <row r="28" spans="2:12" ht="13.5">
      <c r="B28" s="121"/>
      <c r="C28" s="123" t="s">
        <v>164</v>
      </c>
      <c r="D28" s="129"/>
      <c r="E28" s="130"/>
      <c r="F28" s="131"/>
      <c r="G28" s="132">
        <v>6837213</v>
      </c>
      <c r="H28" s="132">
        <f>1600267+1794837</f>
        <v>3395104</v>
      </c>
      <c r="I28" s="132">
        <v>0</v>
      </c>
      <c r="J28" s="132">
        <v>0</v>
      </c>
      <c r="K28" s="132">
        <v>0</v>
      </c>
      <c r="L28" s="132">
        <v>0</v>
      </c>
    </row>
    <row r="29" spans="2:12" ht="104.25" customHeight="1">
      <c r="B29" s="121"/>
      <c r="C29" s="124" t="s">
        <v>173</v>
      </c>
      <c r="D29" s="125" t="s">
        <v>170</v>
      </c>
      <c r="E29" s="126">
        <v>2008</v>
      </c>
      <c r="F29" s="127">
        <v>2012</v>
      </c>
      <c r="G29" s="128">
        <f>SUM(G30:G31)</f>
        <v>22532072</v>
      </c>
      <c r="H29" s="128">
        <f>SUM(H30:H31)</f>
        <v>9132928</v>
      </c>
      <c r="I29" s="128">
        <f>SUM(I30:I31)</f>
        <v>0</v>
      </c>
      <c r="J29" s="128">
        <f>SUM(J30:J31)</f>
        <v>0</v>
      </c>
      <c r="K29" s="128"/>
      <c r="L29" s="128">
        <f>SUM(L30:L31)</f>
        <v>0</v>
      </c>
    </row>
    <row r="30" spans="2:12" ht="14.25" customHeight="1">
      <c r="B30" s="121"/>
      <c r="C30" s="123" t="s">
        <v>163</v>
      </c>
      <c r="D30" s="129"/>
      <c r="E30" s="130"/>
      <c r="F30" s="131"/>
      <c r="G30" s="132">
        <v>0</v>
      </c>
      <c r="H30" s="132">
        <v>0</v>
      </c>
      <c r="I30" s="132">
        <v>0</v>
      </c>
      <c r="J30" s="132">
        <v>0</v>
      </c>
      <c r="K30" s="132"/>
      <c r="L30" s="132">
        <v>0</v>
      </c>
    </row>
    <row r="31" spans="2:12" ht="13.5">
      <c r="B31" s="121"/>
      <c r="C31" s="123" t="s">
        <v>164</v>
      </c>
      <c r="D31" s="129"/>
      <c r="E31" s="130"/>
      <c r="F31" s="131"/>
      <c r="G31" s="132">
        <v>22532072</v>
      </c>
      <c r="H31" s="132">
        <f>7983464+1149464</f>
        <v>9132928</v>
      </c>
      <c r="I31" s="132">
        <v>0</v>
      </c>
      <c r="J31" s="132">
        <v>0</v>
      </c>
      <c r="K31" s="132"/>
      <c r="L31" s="132">
        <v>0</v>
      </c>
    </row>
    <row r="32" spans="2:12" ht="97.5" customHeight="1">
      <c r="B32" s="121"/>
      <c r="C32" s="124" t="s">
        <v>174</v>
      </c>
      <c r="D32" s="125" t="s">
        <v>170</v>
      </c>
      <c r="E32" s="126">
        <v>2008</v>
      </c>
      <c r="F32" s="127">
        <v>2013</v>
      </c>
      <c r="G32" s="128">
        <f>SUM(G33:G34)</f>
        <v>12685671</v>
      </c>
      <c r="H32" s="128">
        <f>SUM(H33:H34)</f>
        <v>7246934</v>
      </c>
      <c r="I32" s="128">
        <f>SUM(I33:I34)</f>
        <v>0</v>
      </c>
      <c r="J32" s="128">
        <f>SUM(J33:J34)</f>
        <v>0</v>
      </c>
      <c r="K32" s="128">
        <f>SUM(K33:K34)</f>
        <v>0</v>
      </c>
      <c r="L32" s="128">
        <f>SUM(L33:L34)</f>
        <v>0</v>
      </c>
    </row>
    <row r="33" spans="2:12" ht="13.5">
      <c r="B33" s="121"/>
      <c r="C33" s="123" t="s">
        <v>163</v>
      </c>
      <c r="D33" s="129"/>
      <c r="E33" s="130"/>
      <c r="F33" s="131"/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2">
        <v>0</v>
      </c>
    </row>
    <row r="34" spans="2:12" ht="13.5">
      <c r="B34" s="121"/>
      <c r="C34" s="123" t="s">
        <v>164</v>
      </c>
      <c r="D34" s="129"/>
      <c r="E34" s="130"/>
      <c r="F34" s="131"/>
      <c r="G34" s="132">
        <f>11585671+1100000</f>
        <v>12685671</v>
      </c>
      <c r="H34" s="132">
        <v>7246934</v>
      </c>
      <c r="I34" s="132">
        <v>0</v>
      </c>
      <c r="J34" s="132">
        <v>0</v>
      </c>
      <c r="K34" s="132">
        <v>0</v>
      </c>
      <c r="L34" s="132">
        <v>0</v>
      </c>
    </row>
    <row r="35" spans="2:12" ht="3.75" customHeight="1">
      <c r="B35" s="121"/>
      <c r="C35" s="124"/>
      <c r="D35" s="125"/>
      <c r="E35" s="126"/>
      <c r="F35" s="126"/>
      <c r="G35" s="128">
        <f>SUM(G36:G37)</f>
        <v>0</v>
      </c>
      <c r="H35" s="128">
        <f>SUM(H36:H37)</f>
        <v>0</v>
      </c>
      <c r="I35" s="128">
        <f>SUM(I36:I37)</f>
        <v>0</v>
      </c>
      <c r="J35" s="128">
        <f>SUM(J36:J37)</f>
        <v>0</v>
      </c>
      <c r="K35" s="128">
        <f>SUM(K36:K37)</f>
        <v>0</v>
      </c>
      <c r="L35" s="128">
        <f>SUM(L36:L37)</f>
        <v>0</v>
      </c>
    </row>
    <row r="36" spans="2:12" ht="3.75" customHeight="1">
      <c r="B36" s="121"/>
      <c r="C36" s="123" t="s">
        <v>163</v>
      </c>
      <c r="D36" s="129"/>
      <c r="E36" s="130"/>
      <c r="F36" s="131"/>
      <c r="G36" s="132">
        <v>0</v>
      </c>
      <c r="H36" s="132">
        <v>0</v>
      </c>
      <c r="I36" s="132">
        <v>0</v>
      </c>
      <c r="J36" s="132">
        <v>0</v>
      </c>
      <c r="K36" s="132">
        <v>0</v>
      </c>
      <c r="L36" s="132">
        <v>0</v>
      </c>
    </row>
    <row r="37" spans="2:12" ht="3.75" customHeight="1">
      <c r="B37" s="121"/>
      <c r="C37" s="123" t="s">
        <v>164</v>
      </c>
      <c r="D37" s="129"/>
      <c r="E37" s="130"/>
      <c r="F37" s="131"/>
      <c r="G37" s="132">
        <v>0</v>
      </c>
      <c r="H37" s="132">
        <v>0</v>
      </c>
      <c r="I37" s="132">
        <v>0</v>
      </c>
      <c r="J37" s="132">
        <v>0</v>
      </c>
      <c r="K37" s="132">
        <v>0</v>
      </c>
      <c r="L37" s="132">
        <v>0</v>
      </c>
    </row>
    <row r="38" spans="2:12" ht="82.5" customHeight="1">
      <c r="B38" s="121"/>
      <c r="C38" s="134" t="s">
        <v>175</v>
      </c>
      <c r="D38" s="125" t="s">
        <v>170</v>
      </c>
      <c r="E38" s="126">
        <v>2011</v>
      </c>
      <c r="F38" s="127">
        <v>2012</v>
      </c>
      <c r="G38" s="128">
        <f>SUM(G39:G40)</f>
        <v>844630</v>
      </c>
      <c r="H38" s="128">
        <f>SUM(H39:H40)</f>
        <v>815480</v>
      </c>
      <c r="I38" s="128">
        <f>SUM(I39:I40)</f>
        <v>0</v>
      </c>
      <c r="J38" s="128">
        <f>SUM(J39:J40)</f>
        <v>0</v>
      </c>
      <c r="K38" s="128">
        <f>SUM(K39:K40)</f>
        <v>0</v>
      </c>
      <c r="L38" s="128">
        <f>SUM(L39:L40)</f>
        <v>0</v>
      </c>
    </row>
    <row r="39" spans="2:12" ht="13.5">
      <c r="B39" s="121"/>
      <c r="C39" s="123" t="s">
        <v>163</v>
      </c>
      <c r="D39" s="129"/>
      <c r="E39" s="130"/>
      <c r="F39" s="131"/>
      <c r="G39" s="132">
        <v>0</v>
      </c>
      <c r="H39" s="132">
        <v>0</v>
      </c>
      <c r="I39" s="132">
        <v>0</v>
      </c>
      <c r="J39" s="132">
        <v>0</v>
      </c>
      <c r="K39" s="132">
        <v>0</v>
      </c>
      <c r="L39" s="132">
        <v>0</v>
      </c>
    </row>
    <row r="40" spans="2:12" ht="13.5">
      <c r="B40" s="121"/>
      <c r="C40" s="123" t="s">
        <v>164</v>
      </c>
      <c r="D40" s="129"/>
      <c r="E40" s="130"/>
      <c r="F40" s="131"/>
      <c r="G40" s="132">
        <f>860000-15370</f>
        <v>844630</v>
      </c>
      <c r="H40" s="132">
        <v>815480</v>
      </c>
      <c r="I40" s="132">
        <v>0</v>
      </c>
      <c r="J40" s="132">
        <v>0</v>
      </c>
      <c r="K40" s="132">
        <v>0</v>
      </c>
      <c r="L40" s="132">
        <v>0</v>
      </c>
    </row>
    <row r="41" spans="2:12" ht="103.5" customHeight="1">
      <c r="B41" s="121"/>
      <c r="C41" s="134" t="s">
        <v>176</v>
      </c>
      <c r="D41" s="125" t="s">
        <v>170</v>
      </c>
      <c r="E41" s="126">
        <v>2012</v>
      </c>
      <c r="F41" s="127">
        <v>2013</v>
      </c>
      <c r="G41" s="128">
        <f>SUM(G42:G43)</f>
        <v>606800</v>
      </c>
      <c r="H41" s="128">
        <f>SUM(H42:H43)</f>
        <v>320000</v>
      </c>
      <c r="I41" s="128">
        <f>SUM(I42:I43)</f>
        <v>286800</v>
      </c>
      <c r="J41" s="128">
        <f>SUM(J42:J43)</f>
        <v>0</v>
      </c>
      <c r="K41" s="128">
        <f>SUM(K42:K43)</f>
        <v>0</v>
      </c>
      <c r="L41" s="128">
        <f>SUM(L42:L43)</f>
        <v>0</v>
      </c>
    </row>
    <row r="42" spans="2:12" ht="13.5">
      <c r="B42" s="121"/>
      <c r="C42" s="123" t="s">
        <v>163</v>
      </c>
      <c r="D42" s="129"/>
      <c r="E42" s="130"/>
      <c r="F42" s="131"/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32">
        <v>0</v>
      </c>
    </row>
    <row r="43" spans="2:12" ht="13.5">
      <c r="B43" s="121"/>
      <c r="C43" s="123" t="s">
        <v>164</v>
      </c>
      <c r="D43" s="129"/>
      <c r="E43" s="130"/>
      <c r="F43" s="131"/>
      <c r="G43" s="132">
        <v>606800</v>
      </c>
      <c r="H43" s="132">
        <v>320000</v>
      </c>
      <c r="I43" s="132">
        <v>286800</v>
      </c>
      <c r="J43" s="132">
        <v>0</v>
      </c>
      <c r="K43" s="132">
        <v>0</v>
      </c>
      <c r="L43" s="132">
        <v>0</v>
      </c>
    </row>
    <row r="44" spans="2:12" ht="111.75" customHeight="1">
      <c r="B44" s="121"/>
      <c r="C44" s="124" t="s">
        <v>177</v>
      </c>
      <c r="D44" s="125" t="s">
        <v>178</v>
      </c>
      <c r="E44" s="126">
        <v>2009</v>
      </c>
      <c r="F44" s="127">
        <v>2012</v>
      </c>
      <c r="G44" s="135">
        <f>SUM(G45:G46)</f>
        <v>125325.43</v>
      </c>
      <c r="H44" s="128">
        <f>SUM(H45:H46)</f>
        <v>33375</v>
      </c>
      <c r="I44" s="128">
        <f>SUM(I45:I46)</f>
        <v>0</v>
      </c>
      <c r="J44" s="128">
        <f>SUM(J45:J46)</f>
        <v>0</v>
      </c>
      <c r="K44" s="128">
        <f>SUM(K45:K46)</f>
        <v>0</v>
      </c>
      <c r="L44" s="128">
        <f>SUM(L45:L46)</f>
        <v>0</v>
      </c>
    </row>
    <row r="45" spans="2:12" ht="13.5">
      <c r="B45" s="121"/>
      <c r="C45" s="123" t="s">
        <v>163</v>
      </c>
      <c r="D45" s="130"/>
      <c r="E45" s="130"/>
      <c r="F45" s="131"/>
      <c r="G45" s="132">
        <v>112600</v>
      </c>
      <c r="H45" s="132">
        <v>33375</v>
      </c>
      <c r="I45" s="132">
        <v>0</v>
      </c>
      <c r="J45" s="132">
        <v>0</v>
      </c>
      <c r="K45" s="132">
        <v>0</v>
      </c>
      <c r="L45" s="132">
        <v>0</v>
      </c>
    </row>
    <row r="46" spans="2:12" ht="13.5">
      <c r="B46" s="121"/>
      <c r="C46" s="123" t="s">
        <v>164</v>
      </c>
      <c r="D46" s="130"/>
      <c r="E46" s="130"/>
      <c r="F46" s="131"/>
      <c r="G46" s="136">
        <v>12725.43</v>
      </c>
      <c r="H46" s="132">
        <v>0</v>
      </c>
      <c r="I46" s="132">
        <v>0</v>
      </c>
      <c r="J46" s="132">
        <v>0</v>
      </c>
      <c r="K46" s="132">
        <v>0</v>
      </c>
      <c r="L46" s="132">
        <v>0</v>
      </c>
    </row>
    <row r="47" spans="2:12" ht="93.75" customHeight="1">
      <c r="B47" s="121"/>
      <c r="C47" s="124" t="s">
        <v>179</v>
      </c>
      <c r="D47" s="125" t="s">
        <v>180</v>
      </c>
      <c r="E47" s="126">
        <v>2010</v>
      </c>
      <c r="F47" s="127">
        <v>2012</v>
      </c>
      <c r="G47" s="128">
        <f>SUM(G48:G49)</f>
        <v>718720</v>
      </c>
      <c r="H47" s="128">
        <f>SUM(H48:H49)</f>
        <v>221440</v>
      </c>
      <c r="I47" s="128">
        <f>SUM(I48:I49)</f>
        <v>0</v>
      </c>
      <c r="J47" s="128">
        <f>SUM(J48:J49)</f>
        <v>0</v>
      </c>
      <c r="K47" s="128">
        <f>SUM(K48:K49)</f>
        <v>0</v>
      </c>
      <c r="L47" s="128">
        <f>SUM(L48:L49)</f>
        <v>0</v>
      </c>
    </row>
    <row r="48" spans="2:12" ht="13.5">
      <c r="B48" s="121"/>
      <c r="C48" s="123" t="s">
        <v>163</v>
      </c>
      <c r="D48" s="137"/>
      <c r="E48" s="130"/>
      <c r="F48" s="131"/>
      <c r="G48" s="132">
        <v>718720</v>
      </c>
      <c r="H48" s="132">
        <v>221440</v>
      </c>
      <c r="I48" s="132">
        <v>0</v>
      </c>
      <c r="J48" s="132">
        <v>0</v>
      </c>
      <c r="K48" s="132">
        <v>0</v>
      </c>
      <c r="L48" s="132">
        <v>0</v>
      </c>
    </row>
    <row r="49" spans="2:12" ht="13.5" customHeight="1">
      <c r="B49" s="121"/>
      <c r="C49" s="123" t="s">
        <v>164</v>
      </c>
      <c r="D49" s="137"/>
      <c r="E49" s="130"/>
      <c r="F49" s="131"/>
      <c r="G49" s="132">
        <v>0</v>
      </c>
      <c r="H49" s="132">
        <v>0</v>
      </c>
      <c r="I49" s="132">
        <v>0</v>
      </c>
      <c r="J49" s="132">
        <v>0</v>
      </c>
      <c r="K49" s="132">
        <v>0</v>
      </c>
      <c r="L49" s="132">
        <v>0</v>
      </c>
    </row>
    <row r="50" spans="2:12" ht="78.75" customHeight="1">
      <c r="B50" s="121"/>
      <c r="C50" s="124" t="s">
        <v>181</v>
      </c>
      <c r="D50" s="125" t="s">
        <v>182</v>
      </c>
      <c r="E50" s="126">
        <v>2010</v>
      </c>
      <c r="F50" s="127">
        <v>2013</v>
      </c>
      <c r="G50" s="128">
        <f>SUM(G51:G52)</f>
        <v>164260</v>
      </c>
      <c r="H50" s="128">
        <f>SUM(H51:H52)</f>
        <v>26020</v>
      </c>
      <c r="I50" s="128">
        <f>SUM(I51:I52)</f>
        <v>15620</v>
      </c>
      <c r="J50" s="128">
        <f>SUM(J51:J52)</f>
        <v>0</v>
      </c>
      <c r="K50" s="128">
        <f>SUM(K51:K52)</f>
        <v>0</v>
      </c>
      <c r="L50" s="128">
        <f>SUM(L51:L52)</f>
        <v>0</v>
      </c>
    </row>
    <row r="51" spans="2:12" ht="14.25" customHeight="1">
      <c r="B51" s="121"/>
      <c r="C51" s="123" t="s">
        <v>163</v>
      </c>
      <c r="D51" s="130"/>
      <c r="E51" s="130"/>
      <c r="F51" s="131"/>
      <c r="G51" s="132">
        <v>164260</v>
      </c>
      <c r="H51" s="132">
        <v>26020</v>
      </c>
      <c r="I51" s="132">
        <v>15620</v>
      </c>
      <c r="J51" s="132">
        <v>0</v>
      </c>
      <c r="K51" s="132">
        <v>0</v>
      </c>
      <c r="L51" s="132">
        <v>0</v>
      </c>
    </row>
    <row r="52" spans="2:12" ht="12" customHeight="1">
      <c r="B52" s="121"/>
      <c r="C52" s="123" t="s">
        <v>164</v>
      </c>
      <c r="D52" s="130"/>
      <c r="E52" s="130"/>
      <c r="F52" s="131"/>
      <c r="G52" s="132">
        <v>0</v>
      </c>
      <c r="H52" s="132">
        <v>0</v>
      </c>
      <c r="I52" s="132">
        <v>0</v>
      </c>
      <c r="J52" s="132">
        <v>0</v>
      </c>
      <c r="K52" s="132">
        <v>0</v>
      </c>
      <c r="L52" s="132">
        <v>0</v>
      </c>
    </row>
    <row r="53" spans="2:12" ht="78.75" customHeight="1">
      <c r="B53" s="121"/>
      <c r="C53" s="124" t="s">
        <v>183</v>
      </c>
      <c r="D53" s="125" t="s">
        <v>178</v>
      </c>
      <c r="E53" s="126">
        <v>2010</v>
      </c>
      <c r="F53" s="127">
        <v>2013</v>
      </c>
      <c r="G53" s="128">
        <f>SUM(G54:G55)</f>
        <v>120000</v>
      </c>
      <c r="H53" s="128">
        <f>SUM(H54:H55)</f>
        <v>20000</v>
      </c>
      <c r="I53" s="128">
        <f>SUM(I54:I55)</f>
        <v>40000</v>
      </c>
      <c r="J53" s="128">
        <f>SUM(J54:J55)</f>
        <v>30000</v>
      </c>
      <c r="K53" s="128">
        <f>SUM(K54:K55)</f>
        <v>0</v>
      </c>
      <c r="L53" s="128">
        <f>SUM(L54:L55)</f>
        <v>0</v>
      </c>
    </row>
    <row r="54" spans="2:12" ht="14.25" customHeight="1">
      <c r="B54" s="121"/>
      <c r="C54" s="123" t="s">
        <v>163</v>
      </c>
      <c r="D54" s="130"/>
      <c r="E54" s="130"/>
      <c r="F54" s="131"/>
      <c r="G54" s="132">
        <v>120000</v>
      </c>
      <c r="H54" s="132">
        <v>20000</v>
      </c>
      <c r="I54" s="132">
        <v>40000</v>
      </c>
      <c r="J54" s="132">
        <v>30000</v>
      </c>
      <c r="K54" s="132">
        <v>0</v>
      </c>
      <c r="L54" s="132">
        <v>0</v>
      </c>
    </row>
    <row r="55" spans="2:12" ht="12" customHeight="1">
      <c r="B55" s="121"/>
      <c r="C55" s="123" t="s">
        <v>164</v>
      </c>
      <c r="D55" s="130"/>
      <c r="E55" s="130"/>
      <c r="F55" s="131"/>
      <c r="G55" s="132">
        <v>0</v>
      </c>
      <c r="H55" s="132">
        <v>0</v>
      </c>
      <c r="I55" s="132">
        <v>0</v>
      </c>
      <c r="J55" s="132">
        <v>0</v>
      </c>
      <c r="K55" s="132">
        <v>0</v>
      </c>
      <c r="L55" s="132">
        <v>0</v>
      </c>
    </row>
    <row r="56" spans="2:12" ht="78.75" customHeight="1">
      <c r="B56" s="121"/>
      <c r="C56" s="124" t="s">
        <v>184</v>
      </c>
      <c r="D56" s="125" t="s">
        <v>178</v>
      </c>
      <c r="E56" s="126">
        <v>2010</v>
      </c>
      <c r="F56" s="127">
        <v>2012</v>
      </c>
      <c r="G56" s="128">
        <f>SUM(G57:G58)</f>
        <v>46253.32</v>
      </c>
      <c r="H56" s="128">
        <f>SUM(H57:H58)</f>
        <v>7200</v>
      </c>
      <c r="I56" s="128">
        <f>SUM(I57:I58)</f>
        <v>0</v>
      </c>
      <c r="J56" s="128">
        <f>SUM(J57:J58)</f>
        <v>0</v>
      </c>
      <c r="K56" s="128">
        <f>SUM(K57:K58)</f>
        <v>0</v>
      </c>
      <c r="L56" s="128">
        <f>SUM(L57:L58)</f>
        <v>0</v>
      </c>
    </row>
    <row r="57" spans="2:12" ht="14.25" customHeight="1">
      <c r="B57" s="121"/>
      <c r="C57" s="123" t="s">
        <v>163</v>
      </c>
      <c r="D57" s="130"/>
      <c r="E57" s="130"/>
      <c r="F57" s="131"/>
      <c r="G57" s="132">
        <f>44353.32+1900</f>
        <v>46253.32</v>
      </c>
      <c r="H57" s="132">
        <f>5300+1900</f>
        <v>7200</v>
      </c>
      <c r="I57" s="132">
        <v>0</v>
      </c>
      <c r="J57" s="132">
        <v>0</v>
      </c>
      <c r="K57" s="132">
        <v>0</v>
      </c>
      <c r="L57" s="132">
        <v>0</v>
      </c>
    </row>
    <row r="58" spans="2:12" ht="12" customHeight="1">
      <c r="B58" s="121"/>
      <c r="C58" s="123" t="s">
        <v>164</v>
      </c>
      <c r="D58" s="130"/>
      <c r="E58" s="130"/>
      <c r="F58" s="131"/>
      <c r="G58" s="132">
        <v>0</v>
      </c>
      <c r="H58" s="132">
        <v>0</v>
      </c>
      <c r="I58" s="132">
        <v>0</v>
      </c>
      <c r="J58" s="132">
        <v>0</v>
      </c>
      <c r="K58" s="132">
        <v>0</v>
      </c>
      <c r="L58" s="132">
        <v>0</v>
      </c>
    </row>
    <row r="59" spans="2:12" ht="32.25" customHeight="1">
      <c r="B59" s="138"/>
      <c r="C59" s="122" t="s">
        <v>185</v>
      </c>
      <c r="D59" s="122"/>
      <c r="E59" s="122"/>
      <c r="F59" s="122"/>
      <c r="G59" s="128">
        <f>SUM(G60:G61)</f>
        <v>0</v>
      </c>
      <c r="H59" s="128">
        <f>SUM(H60:H61)</f>
        <v>0</v>
      </c>
      <c r="I59" s="128">
        <f>SUM(I60:I61)</f>
        <v>0</v>
      </c>
      <c r="J59" s="128">
        <f>SUM(J60:J61)</f>
        <v>0</v>
      </c>
      <c r="K59" s="128">
        <f>SUM(K60:K61)</f>
        <v>0</v>
      </c>
      <c r="L59" s="128">
        <f>SUM(L60:L61)</f>
        <v>0</v>
      </c>
    </row>
    <row r="60" spans="2:12" ht="13.5" customHeight="1">
      <c r="B60" s="138"/>
      <c r="C60" s="123" t="s">
        <v>163</v>
      </c>
      <c r="D60" s="123"/>
      <c r="E60" s="123"/>
      <c r="F60" s="123"/>
      <c r="G60" s="132">
        <v>0</v>
      </c>
      <c r="H60" s="132">
        <v>0</v>
      </c>
      <c r="I60" s="132">
        <v>0</v>
      </c>
      <c r="J60" s="132">
        <v>0</v>
      </c>
      <c r="K60" s="132">
        <v>0</v>
      </c>
      <c r="L60" s="132">
        <v>0</v>
      </c>
    </row>
    <row r="61" spans="2:12" ht="13.5" customHeight="1">
      <c r="B61" s="138"/>
      <c r="C61" s="123" t="s">
        <v>164</v>
      </c>
      <c r="D61" s="123"/>
      <c r="E61" s="123"/>
      <c r="F61" s="123"/>
      <c r="G61" s="132">
        <v>0</v>
      </c>
      <c r="H61" s="132">
        <v>0</v>
      </c>
      <c r="I61" s="132">
        <v>0</v>
      </c>
      <c r="J61" s="132">
        <v>0</v>
      </c>
      <c r="K61" s="132">
        <v>0</v>
      </c>
      <c r="L61" s="132">
        <v>0</v>
      </c>
    </row>
    <row r="62" spans="2:12" ht="29.25" customHeight="1">
      <c r="B62" s="138"/>
      <c r="C62" s="139" t="s">
        <v>186</v>
      </c>
      <c r="D62" s="139"/>
      <c r="E62" s="139"/>
      <c r="F62" s="139"/>
      <c r="G62" s="128">
        <f>SUM(G63:G64)</f>
        <v>8250000</v>
      </c>
      <c r="H62" s="128">
        <f>SUM(H63:H64)</f>
        <v>1421416</v>
      </c>
      <c r="I62" s="128">
        <f>SUM(I63:I64)</f>
        <v>3661427</v>
      </c>
      <c r="J62" s="128">
        <f>SUM(J63:J64)</f>
        <v>1500000</v>
      </c>
      <c r="K62" s="128">
        <f>SUM(K63:K64)</f>
        <v>1500000</v>
      </c>
      <c r="L62" s="128">
        <f>SUM(L63:L64)</f>
        <v>0</v>
      </c>
    </row>
    <row r="63" spans="2:12" ht="13.5">
      <c r="B63" s="138"/>
      <c r="C63" s="123" t="s">
        <v>163</v>
      </c>
      <c r="D63" s="123"/>
      <c r="E63" s="123"/>
      <c r="F63" s="123"/>
      <c r="G63" s="128">
        <f>SUM(G66,G69,G72,G75)</f>
        <v>0</v>
      </c>
      <c r="H63" s="128">
        <f>SUM(H66,H69,H72,H75)</f>
        <v>0</v>
      </c>
      <c r="I63" s="128">
        <f>SUM(I66,I69,I72,I75)</f>
        <v>0</v>
      </c>
      <c r="J63" s="128">
        <f>SUM(J66,J69,J72,J75)</f>
        <v>0</v>
      </c>
      <c r="K63" s="128">
        <f>SUM(K66,K69,K72,K75)</f>
        <v>0</v>
      </c>
      <c r="L63" s="128">
        <f>SUM(L66,L69,L72,L75)</f>
        <v>0</v>
      </c>
    </row>
    <row r="64" spans="2:12" ht="13.5">
      <c r="B64" s="138"/>
      <c r="C64" s="123" t="s">
        <v>164</v>
      </c>
      <c r="D64" s="123"/>
      <c r="E64" s="123"/>
      <c r="F64" s="123"/>
      <c r="G64" s="128">
        <f>SUM(G67,G70,G73,G76)</f>
        <v>8250000</v>
      </c>
      <c r="H64" s="128">
        <f>SUM(H67,H70,H73,H76)</f>
        <v>1421416</v>
      </c>
      <c r="I64" s="128">
        <f>SUM(I67,I70,I73,I76)</f>
        <v>3661427</v>
      </c>
      <c r="J64" s="128">
        <f>SUM(J67,J70,J73,J76)</f>
        <v>1500000</v>
      </c>
      <c r="K64" s="128">
        <f>SUM(K67,K70,K73,K76)</f>
        <v>1500000</v>
      </c>
      <c r="L64" s="128">
        <f>SUM(L67,L70,L73,L76)</f>
        <v>0</v>
      </c>
    </row>
    <row r="65" spans="2:12" s="120" customFormat="1" ht="68.25">
      <c r="B65" s="140"/>
      <c r="C65" s="124" t="s">
        <v>187</v>
      </c>
      <c r="D65" s="125" t="s">
        <v>170</v>
      </c>
      <c r="E65" s="126">
        <v>2011</v>
      </c>
      <c r="F65" s="127">
        <v>2015</v>
      </c>
      <c r="G65" s="128">
        <f>SUM(G66:G67)</f>
        <v>6800000</v>
      </c>
      <c r="H65" s="128">
        <f>SUM(H66:H67)</f>
        <v>1332443</v>
      </c>
      <c r="I65" s="128">
        <f>SUM(I66:I67)</f>
        <v>2325000</v>
      </c>
      <c r="J65" s="128">
        <f>SUM(J66:J67)</f>
        <v>1500000</v>
      </c>
      <c r="K65" s="128">
        <f>SUM(K66:K67)</f>
        <v>1500000</v>
      </c>
      <c r="L65" s="128">
        <f>SUM(L66:L67)</f>
        <v>0</v>
      </c>
    </row>
    <row r="66" spans="2:12" s="120" customFormat="1" ht="13.5">
      <c r="B66" s="140"/>
      <c r="C66" s="123" t="s">
        <v>163</v>
      </c>
      <c r="D66" s="141"/>
      <c r="E66" s="142"/>
      <c r="F66" s="131"/>
      <c r="G66" s="132">
        <v>0</v>
      </c>
      <c r="H66" s="132">
        <v>0</v>
      </c>
      <c r="I66" s="132">
        <v>0</v>
      </c>
      <c r="J66" s="132">
        <v>0</v>
      </c>
      <c r="K66" s="132">
        <v>0</v>
      </c>
      <c r="L66" s="132">
        <v>0</v>
      </c>
    </row>
    <row r="67" spans="2:12" ht="13.5">
      <c r="B67" s="138"/>
      <c r="C67" s="123" t="s">
        <v>164</v>
      </c>
      <c r="D67" s="141"/>
      <c r="E67" s="142"/>
      <c r="F67" s="131"/>
      <c r="G67" s="132">
        <f>7000000-1100000+900000</f>
        <v>6800000</v>
      </c>
      <c r="H67" s="132">
        <f>1000000-900000+1267443-35000</f>
        <v>1332443</v>
      </c>
      <c r="I67" s="132">
        <f>1440000-200000+150000+900000+35000</f>
        <v>2325000</v>
      </c>
      <c r="J67" s="132">
        <v>1500000</v>
      </c>
      <c r="K67" s="132">
        <v>1500000</v>
      </c>
      <c r="L67" s="132">
        <v>0</v>
      </c>
    </row>
    <row r="68" spans="2:12" ht="74.25" customHeight="1">
      <c r="B68" s="121"/>
      <c r="C68" s="134" t="s">
        <v>188</v>
      </c>
      <c r="D68" s="125" t="s">
        <v>170</v>
      </c>
      <c r="E68" s="126">
        <v>2011</v>
      </c>
      <c r="F68" s="127">
        <v>2013</v>
      </c>
      <c r="G68" s="128">
        <f>SUM(G69:G70)</f>
        <v>1450000</v>
      </c>
      <c r="H68" s="128">
        <f>SUM(H69:H70)</f>
        <v>88973</v>
      </c>
      <c r="I68" s="128">
        <f>SUM(I69:I70)</f>
        <v>1336427</v>
      </c>
      <c r="J68" s="128">
        <f>SUM(J69:J70)</f>
        <v>0</v>
      </c>
      <c r="K68" s="128">
        <f>SUM(K69:K70)</f>
        <v>0</v>
      </c>
      <c r="L68" s="128">
        <f>SUM(L69:L70)</f>
        <v>0</v>
      </c>
    </row>
    <row r="69" spans="2:12" ht="13.5">
      <c r="B69" s="121"/>
      <c r="C69" s="123" t="s">
        <v>163</v>
      </c>
      <c r="D69" s="129"/>
      <c r="E69" s="130"/>
      <c r="F69" s="131"/>
      <c r="G69" s="132">
        <v>0</v>
      </c>
      <c r="H69" s="132">
        <v>0</v>
      </c>
      <c r="I69" s="132">
        <v>0</v>
      </c>
      <c r="J69" s="132">
        <v>0</v>
      </c>
      <c r="K69" s="132">
        <v>0</v>
      </c>
      <c r="L69" s="132">
        <v>0</v>
      </c>
    </row>
    <row r="70" spans="2:12" ht="13.5">
      <c r="B70" s="121"/>
      <c r="C70" s="123" t="s">
        <v>164</v>
      </c>
      <c r="D70" s="129"/>
      <c r="E70" s="130"/>
      <c r="F70" s="131"/>
      <c r="G70" s="132">
        <v>1450000</v>
      </c>
      <c r="H70" s="132">
        <f>670000-586427+5400</f>
        <v>88973</v>
      </c>
      <c r="I70" s="132">
        <f>750000+586427</f>
        <v>1336427</v>
      </c>
      <c r="J70" s="132">
        <v>0</v>
      </c>
      <c r="K70" s="132">
        <v>0</v>
      </c>
      <c r="L70" s="132">
        <v>0</v>
      </c>
    </row>
    <row r="71" spans="2:12" ht="13.5">
      <c r="B71" s="138"/>
      <c r="C71" s="134"/>
      <c r="D71" s="125"/>
      <c r="E71" s="126"/>
      <c r="F71" s="127"/>
      <c r="G71" s="143">
        <f>SUM(G72:G73)</f>
        <v>0</v>
      </c>
      <c r="H71" s="143">
        <f>SUM(H72:H73)</f>
        <v>0</v>
      </c>
      <c r="I71" s="143">
        <f>SUM(I72:I73)</f>
        <v>0</v>
      </c>
      <c r="J71" s="143">
        <f>SUM(J72:J73)</f>
        <v>0</v>
      </c>
      <c r="K71" s="143">
        <f>SUM(K72:K73)</f>
        <v>0</v>
      </c>
      <c r="L71" s="143">
        <f>SUM(L72:L73)</f>
        <v>0</v>
      </c>
    </row>
    <row r="72" spans="2:12" ht="13.5">
      <c r="B72" s="138"/>
      <c r="C72" s="123" t="s">
        <v>163</v>
      </c>
      <c r="D72" s="123"/>
      <c r="E72" s="123"/>
      <c r="F72" s="123"/>
      <c r="G72" s="132">
        <v>0</v>
      </c>
      <c r="H72" s="132">
        <v>0</v>
      </c>
      <c r="I72" s="132">
        <v>0</v>
      </c>
      <c r="J72" s="132">
        <v>0</v>
      </c>
      <c r="K72" s="132">
        <v>0</v>
      </c>
      <c r="L72" s="132">
        <v>0</v>
      </c>
    </row>
    <row r="73" spans="2:12" ht="13.5">
      <c r="B73" s="138"/>
      <c r="C73" s="123" t="s">
        <v>164</v>
      </c>
      <c r="D73" s="123"/>
      <c r="E73" s="123"/>
      <c r="F73" s="123"/>
      <c r="G73" s="132"/>
      <c r="H73" s="132"/>
      <c r="I73" s="132"/>
      <c r="J73" s="132">
        <v>0</v>
      </c>
      <c r="K73" s="132">
        <v>0</v>
      </c>
      <c r="L73" s="132">
        <v>0</v>
      </c>
    </row>
    <row r="74" spans="2:12" ht="2.25" customHeight="1">
      <c r="B74" s="138"/>
      <c r="C74" s="134"/>
      <c r="D74" s="125"/>
      <c r="E74" s="126">
        <v>0</v>
      </c>
      <c r="F74" s="127">
        <v>0</v>
      </c>
      <c r="G74" s="143">
        <f>SUM(G75:G76)</f>
        <v>0</v>
      </c>
      <c r="H74" s="143">
        <f>SUM(H75:H76)</f>
        <v>0</v>
      </c>
      <c r="I74" s="143">
        <f>SUM(I75:I76)</f>
        <v>0</v>
      </c>
      <c r="J74" s="143">
        <f>SUM(J75:J76)</f>
        <v>0</v>
      </c>
      <c r="K74" s="143">
        <f>SUM(K75:K76)</f>
        <v>0</v>
      </c>
      <c r="L74" s="143">
        <f>SUM(L75:L76)</f>
        <v>0</v>
      </c>
    </row>
    <row r="75" spans="2:12" ht="2.25" customHeight="1">
      <c r="B75" s="138"/>
      <c r="C75" s="123" t="s">
        <v>163</v>
      </c>
      <c r="D75" s="123"/>
      <c r="E75" s="123"/>
      <c r="F75" s="123"/>
      <c r="G75" s="132">
        <v>0</v>
      </c>
      <c r="H75" s="132">
        <v>0</v>
      </c>
      <c r="I75" s="132">
        <v>0</v>
      </c>
      <c r="J75" s="132">
        <v>0</v>
      </c>
      <c r="K75" s="132">
        <v>0</v>
      </c>
      <c r="L75" s="132">
        <v>0</v>
      </c>
    </row>
    <row r="76" spans="2:12" ht="2.25" customHeight="1">
      <c r="B76" s="138"/>
      <c r="C76" s="123" t="s">
        <v>164</v>
      </c>
      <c r="D76" s="123"/>
      <c r="E76" s="123"/>
      <c r="F76" s="123"/>
      <c r="G76" s="132">
        <v>0</v>
      </c>
      <c r="H76" s="132">
        <v>0</v>
      </c>
      <c r="I76" s="132">
        <v>0</v>
      </c>
      <c r="J76" s="132">
        <v>0</v>
      </c>
      <c r="K76" s="132">
        <v>0</v>
      </c>
      <c r="L76" s="132">
        <v>0</v>
      </c>
    </row>
    <row r="77" spans="2:12" ht="43.5" customHeight="1">
      <c r="B77" s="138"/>
      <c r="C77" s="139" t="s">
        <v>189</v>
      </c>
      <c r="D77" s="139"/>
      <c r="E77" s="139"/>
      <c r="F77" s="139"/>
      <c r="G77" s="128">
        <f>SUM(G78:G79)</f>
        <v>0</v>
      </c>
      <c r="H77" s="128">
        <f>SUM(H78:H79)</f>
        <v>0</v>
      </c>
      <c r="I77" s="128">
        <f>SUM(I78:I79)</f>
        <v>0</v>
      </c>
      <c r="J77" s="128">
        <f>SUM(J78:J79)</f>
        <v>0</v>
      </c>
      <c r="K77" s="128">
        <f>SUM(K78:K79)</f>
        <v>0</v>
      </c>
      <c r="L77" s="128">
        <f>SUM(L78:L79)</f>
        <v>0</v>
      </c>
    </row>
    <row r="78" spans="2:12" ht="13.5">
      <c r="B78" s="138"/>
      <c r="C78" s="123" t="s">
        <v>163</v>
      </c>
      <c r="D78" s="123"/>
      <c r="E78" s="123"/>
      <c r="F78" s="123"/>
      <c r="G78" s="133">
        <v>0</v>
      </c>
      <c r="H78" s="133">
        <v>0</v>
      </c>
      <c r="I78" s="133">
        <v>0</v>
      </c>
      <c r="J78" s="133">
        <f>SUM(J83)</f>
        <v>0</v>
      </c>
      <c r="K78" s="133">
        <f>SUM(K83)</f>
        <v>0</v>
      </c>
      <c r="L78" s="133">
        <f>SUM(L83)</f>
        <v>0</v>
      </c>
    </row>
    <row r="79" spans="2:12" ht="13.5">
      <c r="B79" s="138"/>
      <c r="C79" s="123" t="s">
        <v>164</v>
      </c>
      <c r="D79" s="123"/>
      <c r="E79" s="123"/>
      <c r="F79" s="123"/>
      <c r="G79" s="133">
        <f>SUM(G86)</f>
        <v>0</v>
      </c>
      <c r="H79" s="133">
        <f>SUM(H86)</f>
        <v>0</v>
      </c>
      <c r="I79" s="133">
        <f>SUM(I86)</f>
        <v>0</v>
      </c>
      <c r="J79" s="133">
        <f>SUM(J86)</f>
        <v>0</v>
      </c>
      <c r="K79" s="133">
        <f>SUM(K86)</f>
        <v>0</v>
      </c>
      <c r="L79" s="133">
        <f>SUM(L86)</f>
        <v>0</v>
      </c>
    </row>
    <row r="80" spans="2:12" ht="25.5" customHeight="1">
      <c r="B80" s="138"/>
      <c r="C80" s="139" t="s">
        <v>190</v>
      </c>
      <c r="D80" s="139"/>
      <c r="E80" s="139"/>
      <c r="F80" s="139"/>
      <c r="G80" s="128">
        <f>SUM(G81)</f>
        <v>700000</v>
      </c>
      <c r="H80" s="128">
        <f>SUM(H81)</f>
        <v>1192000</v>
      </c>
      <c r="I80" s="128">
        <f>SUM(I81)</f>
        <v>1000000</v>
      </c>
      <c r="J80" s="128">
        <f>SUM(J81)</f>
        <v>0</v>
      </c>
      <c r="K80" s="128">
        <f>SUM(K81)</f>
        <v>0</v>
      </c>
      <c r="L80" s="128">
        <f>SUM(L81)</f>
        <v>0</v>
      </c>
    </row>
    <row r="81" spans="2:12" ht="13.5">
      <c r="B81" s="138"/>
      <c r="C81" s="123" t="s">
        <v>163</v>
      </c>
      <c r="D81" s="123"/>
      <c r="E81" s="123"/>
      <c r="F81" s="123"/>
      <c r="G81" s="128">
        <f>SUM(G82)</f>
        <v>700000</v>
      </c>
      <c r="H81" s="128">
        <f>SUM(H82,H84)</f>
        <v>1192000</v>
      </c>
      <c r="I81" s="128">
        <f>SUM(I82,I84)</f>
        <v>1000000</v>
      </c>
      <c r="J81" s="128">
        <f>SUM(J82)</f>
        <v>0</v>
      </c>
      <c r="K81" s="128">
        <f>SUM(K82)</f>
        <v>0</v>
      </c>
      <c r="L81" s="128">
        <f>SUM(L82)</f>
        <v>0</v>
      </c>
    </row>
    <row r="82" spans="2:12" s="120" customFormat="1" ht="106.5">
      <c r="B82" s="140"/>
      <c r="C82" s="124" t="s">
        <v>191</v>
      </c>
      <c r="D82" s="125" t="s">
        <v>178</v>
      </c>
      <c r="E82" s="126">
        <v>2008</v>
      </c>
      <c r="F82" s="127">
        <v>2012</v>
      </c>
      <c r="G82" s="128">
        <f>SUM(G83:G83)</f>
        <v>700000</v>
      </c>
      <c r="H82" s="128">
        <f>SUM(H83:H83)</f>
        <v>192000</v>
      </c>
      <c r="I82" s="128">
        <f>SUM(I83:I83)</f>
        <v>0</v>
      </c>
      <c r="J82" s="128">
        <f>SUM(J83:J83)</f>
        <v>0</v>
      </c>
      <c r="K82" s="128">
        <f>SUM(K83:K83)</f>
        <v>0</v>
      </c>
      <c r="L82" s="128">
        <f>SUM(L83:L83)</f>
        <v>0</v>
      </c>
    </row>
    <row r="83" spans="2:12" s="120" customFormat="1" ht="13.5">
      <c r="B83" s="140"/>
      <c r="C83" s="123" t="s">
        <v>163</v>
      </c>
      <c r="D83" s="142"/>
      <c r="E83" s="142"/>
      <c r="F83" s="131"/>
      <c r="G83" s="132">
        <v>700000</v>
      </c>
      <c r="H83" s="132">
        <v>192000</v>
      </c>
      <c r="I83" s="132">
        <v>0</v>
      </c>
      <c r="J83" s="132">
        <v>0</v>
      </c>
      <c r="K83" s="132">
        <v>0</v>
      </c>
      <c r="L83" s="132">
        <v>0</v>
      </c>
    </row>
    <row r="84" spans="2:12" s="120" customFormat="1" ht="106.5">
      <c r="B84" s="140"/>
      <c r="C84" s="124" t="s">
        <v>192</v>
      </c>
      <c r="D84" s="125" t="s">
        <v>178</v>
      </c>
      <c r="E84" s="126">
        <v>2008</v>
      </c>
      <c r="F84" s="127">
        <v>2012</v>
      </c>
      <c r="G84" s="128">
        <f>SUM(G85:G85)</f>
        <v>0</v>
      </c>
      <c r="H84" s="128">
        <f>SUM(H85:H85)</f>
        <v>1000000</v>
      </c>
      <c r="I84" s="128">
        <f>SUM(I85:I85)</f>
        <v>1000000</v>
      </c>
      <c r="J84" s="128">
        <f>SUM(J85:J85)</f>
        <v>0</v>
      </c>
      <c r="K84" s="128">
        <f>SUM(K85:K85)</f>
        <v>0</v>
      </c>
      <c r="L84" s="128">
        <f>SUM(L85:L85)</f>
        <v>0</v>
      </c>
    </row>
    <row r="85" spans="2:12" s="120" customFormat="1" ht="13.5">
      <c r="B85" s="140"/>
      <c r="C85" s="123" t="s">
        <v>163</v>
      </c>
      <c r="D85" s="142"/>
      <c r="E85" s="142"/>
      <c r="F85" s="131"/>
      <c r="G85" s="132">
        <v>0</v>
      </c>
      <c r="H85" s="132">
        <v>1000000</v>
      </c>
      <c r="I85" s="132">
        <v>1000000</v>
      </c>
      <c r="J85" s="132">
        <v>0</v>
      </c>
      <c r="K85" s="132">
        <v>0</v>
      </c>
      <c r="L85" s="132">
        <v>0</v>
      </c>
    </row>
    <row r="86" ht="12.75">
      <c r="C86" t="s">
        <v>53</v>
      </c>
    </row>
    <row r="87" spans="8:11" ht="12.75">
      <c r="H87" s="39"/>
      <c r="I87" s="39"/>
      <c r="J87" s="39"/>
      <c r="K87" s="39"/>
    </row>
    <row r="88" spans="8:11" ht="12.75">
      <c r="H88" s="39"/>
      <c r="I88" s="39"/>
      <c r="J88" s="39"/>
      <c r="K88" s="39"/>
    </row>
  </sheetData>
  <sheetProtection selectLockedCells="1" selectUnlockedCells="1"/>
  <mergeCells count="40">
    <mergeCell ref="J1:L1"/>
    <mergeCell ref="K2:L2"/>
    <mergeCell ref="J3:L3"/>
    <mergeCell ref="J4:L4"/>
    <mergeCell ref="K5:L5"/>
    <mergeCell ref="C6:L6"/>
    <mergeCell ref="B8:B9"/>
    <mergeCell ref="C8:C9"/>
    <mergeCell ref="D8:D9"/>
    <mergeCell ref="E8:F8"/>
    <mergeCell ref="G8:G9"/>
    <mergeCell ref="H8:K8"/>
    <mergeCell ref="L8:L9"/>
    <mergeCell ref="C11:F11"/>
    <mergeCell ref="C12:F12"/>
    <mergeCell ref="C13:F13"/>
    <mergeCell ref="M13:P13"/>
    <mergeCell ref="C14:F14"/>
    <mergeCell ref="C15:F15"/>
    <mergeCell ref="C16:F16"/>
    <mergeCell ref="C17:F17"/>
    <mergeCell ref="C18:F18"/>
    <mergeCell ref="C19:F19"/>
    <mergeCell ref="C59:F59"/>
    <mergeCell ref="C60:F60"/>
    <mergeCell ref="C61:F61"/>
    <mergeCell ref="C62:F62"/>
    <mergeCell ref="C63:F63"/>
    <mergeCell ref="C64:F64"/>
    <mergeCell ref="C72:F72"/>
    <mergeCell ref="C73:F73"/>
    <mergeCell ref="C75:F75"/>
    <mergeCell ref="C76:F76"/>
    <mergeCell ref="C77:F77"/>
    <mergeCell ref="C78:F78"/>
    <mergeCell ref="C79:F79"/>
    <mergeCell ref="C80:F80"/>
    <mergeCell ref="C81:F81"/>
    <mergeCell ref="H87:J87"/>
    <mergeCell ref="H88:J88"/>
  </mergeCells>
  <printOptions/>
  <pageMargins left="0.39375" right="0.2361111111111111" top="0.39375" bottom="0.2361111111111111" header="0.5118055555555555" footer="0.5118055555555555"/>
  <pageSetup horizontalDpi="300" verticalDpi="300" orientation="portrait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E30" sqref="E30"/>
    </sheetView>
  </sheetViews>
  <sheetFormatPr defaultColWidth="12.57421875" defaultRowHeight="12.75"/>
  <cols>
    <col min="1" max="1" width="3.7109375" style="0" customWidth="1"/>
    <col min="2" max="3" width="11.57421875" style="0" customWidth="1"/>
    <col min="4" max="4" width="13.8515625" style="0" customWidth="1"/>
    <col min="5" max="5" width="14.8515625" style="0" customWidth="1"/>
    <col min="6" max="6" width="16.8515625" style="0" customWidth="1"/>
    <col min="7" max="7" width="9.140625" style="0" customWidth="1"/>
    <col min="8" max="16384" width="11.57421875" style="0" customWidth="1"/>
  </cols>
  <sheetData>
    <row r="1" spans="1:7" ht="12" customHeight="1">
      <c r="A1" s="144"/>
      <c r="B1" s="144"/>
      <c r="C1" s="144"/>
      <c r="D1" s="145" t="s">
        <v>193</v>
      </c>
      <c r="E1" s="146" t="str">
        <f>zał3!K2</f>
        <v>471/VII/2012</v>
      </c>
      <c r="F1" s="144"/>
      <c r="G1" s="144"/>
    </row>
    <row r="2" spans="1:7" ht="12" customHeight="1">
      <c r="A2" s="144" t="s">
        <v>194</v>
      </c>
      <c r="B2" s="144"/>
      <c r="C2" s="144"/>
      <c r="D2" s="144"/>
      <c r="E2" s="144"/>
      <c r="F2" s="144"/>
      <c r="G2" s="144"/>
    </row>
    <row r="3" spans="1:7" ht="12" customHeight="1">
      <c r="A3" s="144" t="str">
        <f>zał3!J4</f>
        <v>z dnia  26 lipca 2012r.</v>
      </c>
      <c r="B3" s="144"/>
      <c r="C3" s="144"/>
      <c r="D3" s="144"/>
      <c r="E3" s="144"/>
      <c r="F3" s="144"/>
      <c r="G3" s="144"/>
    </row>
    <row r="5" spans="2:7" ht="24.75" customHeight="1">
      <c r="B5" s="147" t="s">
        <v>195</v>
      </c>
      <c r="C5" s="147"/>
      <c r="D5" s="147"/>
      <c r="E5" s="147"/>
      <c r="F5" s="147"/>
      <c r="G5" s="147"/>
    </row>
    <row r="7" spans="2:7" ht="68.25" customHeight="1">
      <c r="B7" s="148" t="s">
        <v>196</v>
      </c>
      <c r="C7" s="148"/>
      <c r="D7" s="148"/>
      <c r="E7" s="148"/>
      <c r="F7" s="148"/>
      <c r="G7" s="148"/>
    </row>
    <row r="9" spans="1:6" ht="12.75" customHeight="1">
      <c r="A9" s="149" t="s">
        <v>197</v>
      </c>
      <c r="B9" s="150" t="str">
        <f>IF(C37&lt;=0,$C$41,$C$42)</f>
        <v>Zwiększyć</v>
      </c>
      <c r="C9" s="151" t="s">
        <v>198</v>
      </c>
      <c r="D9" s="151"/>
      <c r="E9" s="151"/>
      <c r="F9" s="95">
        <f>'Ogółem Zmiany w paragrafach '!D65</f>
        <v>51781</v>
      </c>
    </row>
    <row r="10" ht="11.25" customHeight="1"/>
    <row r="11" spans="1:6" ht="12.75" customHeight="1">
      <c r="A11" s="149" t="s">
        <v>199</v>
      </c>
      <c r="B11" s="150" t="str">
        <f>IF(C38&lt;=0,$C$41,$C$42)</f>
        <v>Zwiększyć</v>
      </c>
      <c r="C11" s="151" t="s">
        <v>200</v>
      </c>
      <c r="D11" s="151"/>
      <c r="E11" s="151"/>
      <c r="F11" s="95">
        <f>'Ogółem Zmiany w paragrafach '!G65</f>
        <v>51781</v>
      </c>
    </row>
    <row r="12" ht="12.75" customHeight="1"/>
    <row r="13" spans="1:6" ht="12.75" customHeight="1">
      <c r="A13" s="149" t="s">
        <v>201</v>
      </c>
      <c r="B13" s="152" t="s">
        <v>202</v>
      </c>
      <c r="C13" s="152"/>
      <c r="D13" s="152"/>
      <c r="E13" s="152"/>
      <c r="F13" s="153">
        <f>zał2!F8</f>
        <v>89920637.13</v>
      </c>
    </row>
    <row r="14" spans="2:6" ht="12.75" customHeight="1">
      <c r="B14" s="152" t="s">
        <v>203</v>
      </c>
      <c r="C14" s="152"/>
      <c r="D14" s="152"/>
      <c r="E14" s="152"/>
      <c r="F14" s="153">
        <f>zał2!F9</f>
        <v>60103326.13</v>
      </c>
    </row>
    <row r="15" spans="2:6" ht="12.75" customHeight="1">
      <c r="B15" s="154" t="s">
        <v>204</v>
      </c>
      <c r="C15" s="154"/>
      <c r="D15" s="154"/>
      <c r="E15" s="154"/>
      <c r="F15" s="153">
        <f>zał2!F10</f>
        <v>29817311</v>
      </c>
    </row>
    <row r="16" ht="12.75">
      <c r="F16" s="95"/>
    </row>
    <row r="17" spans="1:6" ht="12.75" customHeight="1">
      <c r="A17" s="149" t="s">
        <v>205</v>
      </c>
      <c r="B17" s="152" t="s">
        <v>206</v>
      </c>
      <c r="C17" s="152"/>
      <c r="D17" s="152"/>
      <c r="E17" s="152"/>
      <c r="F17" s="153">
        <f>zał2!F12</f>
        <v>91724402.13</v>
      </c>
    </row>
    <row r="18" spans="2:6" ht="15" customHeight="1">
      <c r="B18" s="155" t="s">
        <v>207</v>
      </c>
      <c r="C18" s="155"/>
      <c r="D18" s="155"/>
      <c r="E18" s="155"/>
      <c r="F18" s="153">
        <f>zał2!F13</f>
        <v>60420235.61</v>
      </c>
    </row>
    <row r="19" spans="2:6" ht="12.75" customHeight="1">
      <c r="B19" s="156" t="s">
        <v>208</v>
      </c>
      <c r="C19" s="156"/>
      <c r="D19" s="156"/>
      <c r="E19" s="156"/>
      <c r="F19" s="153">
        <f>zał2!F14</f>
        <v>31304166.52</v>
      </c>
    </row>
    <row r="21" spans="1:5" ht="12.75" customHeight="1">
      <c r="A21" s="157" t="s">
        <v>209</v>
      </c>
      <c r="B21" s="158" t="s">
        <v>210</v>
      </c>
      <c r="C21" s="158"/>
      <c r="D21" s="158"/>
      <c r="E21" s="158"/>
    </row>
    <row r="23" spans="1:7" ht="24.75" customHeight="1">
      <c r="A23" s="159" t="s">
        <v>211</v>
      </c>
      <c r="B23" s="160" t="s">
        <v>212</v>
      </c>
      <c r="C23" s="160"/>
      <c r="D23" s="160"/>
      <c r="E23" s="160"/>
      <c r="F23" s="160"/>
      <c r="G23" s="160"/>
    </row>
    <row r="26" spans="4:7" ht="12.75" customHeight="1">
      <c r="D26" s="161" t="s">
        <v>213</v>
      </c>
      <c r="E26" s="161"/>
      <c r="F26" s="161"/>
      <c r="G26" s="161"/>
    </row>
    <row r="28" spans="4:7" ht="12.75" customHeight="1">
      <c r="D28" s="161" t="s">
        <v>214</v>
      </c>
      <c r="E28" s="161"/>
      <c r="F28" s="161"/>
      <c r="G28" s="161"/>
    </row>
    <row r="29" ht="12.75">
      <c r="E29" s="162"/>
    </row>
    <row r="37" ht="12.75">
      <c r="C37" s="163">
        <f>'Ogółem Zmiany w paragrafach '!D42</f>
        <v>51781</v>
      </c>
    </row>
    <row r="38" ht="12.75">
      <c r="C38" s="163">
        <f>'Ogółem Zmiany w paragrafach '!G42</f>
        <v>51781</v>
      </c>
    </row>
    <row r="39" ht="12.75">
      <c r="C39" s="163"/>
    </row>
    <row r="40" ht="12.75">
      <c r="C40" s="163"/>
    </row>
    <row r="41" ht="12.75">
      <c r="C41" s="163" t="s">
        <v>215</v>
      </c>
    </row>
    <row r="42" ht="12.75">
      <c r="C42" s="163" t="s">
        <v>216</v>
      </c>
    </row>
  </sheetData>
  <sheetProtection selectLockedCells="1" selectUnlockedCells="1"/>
  <mergeCells count="16">
    <mergeCell ref="A2:G2"/>
    <mergeCell ref="A3:G3"/>
    <mergeCell ref="B5:G5"/>
    <mergeCell ref="B7:G7"/>
    <mergeCell ref="C9:E9"/>
    <mergeCell ref="C11:E11"/>
    <mergeCell ref="B13:E13"/>
    <mergeCell ref="B14:E14"/>
    <mergeCell ref="B15:E15"/>
    <mergeCell ref="B17:E17"/>
    <mergeCell ref="B18:E18"/>
    <mergeCell ref="B19:E19"/>
    <mergeCell ref="B21:E21"/>
    <mergeCell ref="B23:G23"/>
    <mergeCell ref="D26:G26"/>
    <mergeCell ref="D28:G28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E7" sqref="E7"/>
    </sheetView>
  </sheetViews>
  <sheetFormatPr defaultColWidth="12.57421875" defaultRowHeight="12.75"/>
  <cols>
    <col min="1" max="1" width="40.8515625" style="0" customWidth="1"/>
    <col min="2" max="2" width="15.28125" style="0" customWidth="1"/>
    <col min="3" max="3" width="40.8515625" style="0" customWidth="1"/>
    <col min="4" max="4" width="15.28125" style="0" customWidth="1"/>
    <col min="5" max="16384" width="11.57421875" style="0" customWidth="1"/>
  </cols>
  <sheetData>
    <row r="1" spans="1:4" ht="22.5">
      <c r="A1" s="164" t="s">
        <v>217</v>
      </c>
      <c r="B1" s="164"/>
      <c r="C1" s="164"/>
      <c r="D1" s="164"/>
    </row>
    <row r="2" spans="1:4" ht="24.75" customHeight="1">
      <c r="A2" s="165"/>
      <c r="B2" s="166"/>
      <c r="C2" s="166"/>
      <c r="D2" s="166"/>
    </row>
    <row r="3" spans="1:4" ht="17.25">
      <c r="A3" s="167" t="s">
        <v>218</v>
      </c>
      <c r="B3" s="167"/>
      <c r="C3" s="167" t="s">
        <v>219</v>
      </c>
      <c r="D3" s="167"/>
    </row>
    <row r="4" spans="1:4" ht="17.25">
      <c r="A4" s="168" t="s">
        <v>220</v>
      </c>
      <c r="B4" s="168"/>
      <c r="C4" s="168"/>
      <c r="D4" s="168"/>
    </row>
    <row r="5" spans="1:4" ht="40.5">
      <c r="A5" s="167"/>
      <c r="B5" s="167"/>
      <c r="C5" s="169" t="s">
        <v>221</v>
      </c>
      <c r="D5" s="170">
        <v>1715.52</v>
      </c>
    </row>
    <row r="6" spans="1:4" ht="17.25">
      <c r="A6" s="168" t="s">
        <v>222</v>
      </c>
      <c r="B6" s="168"/>
      <c r="C6" s="168"/>
      <c r="D6" s="168"/>
    </row>
    <row r="7" spans="1:4" ht="42" customHeight="1">
      <c r="A7" s="169"/>
      <c r="B7" s="170"/>
      <c r="C7" s="169" t="s">
        <v>223</v>
      </c>
      <c r="D7" s="170">
        <v>5400</v>
      </c>
    </row>
    <row r="8" spans="1:4" ht="17.25" customHeight="1">
      <c r="A8" s="171" t="s">
        <v>224</v>
      </c>
      <c r="B8" s="171"/>
      <c r="C8" s="171"/>
      <c r="D8" s="171"/>
    </row>
    <row r="9" spans="1:4" ht="29.25">
      <c r="A9" s="169"/>
      <c r="B9" s="170"/>
      <c r="C9" s="169" t="s">
        <v>225</v>
      </c>
      <c r="D9" s="170">
        <v>143754</v>
      </c>
    </row>
    <row r="10" spans="1:4" ht="29.25">
      <c r="A10" s="169"/>
      <c r="B10" s="170"/>
      <c r="C10" s="169" t="s">
        <v>226</v>
      </c>
      <c r="D10" s="170">
        <f>1267443-35000</f>
        <v>1232443</v>
      </c>
    </row>
    <row r="11" spans="1:4" ht="29.25">
      <c r="A11" s="169"/>
      <c r="B11" s="170"/>
      <c r="C11" s="169" t="s">
        <v>227</v>
      </c>
      <c r="D11" s="170">
        <v>50850</v>
      </c>
    </row>
    <row r="12" spans="1:4" ht="29.25">
      <c r="A12" s="169"/>
      <c r="B12" s="170"/>
      <c r="C12" s="169" t="s">
        <v>228</v>
      </c>
      <c r="D12" s="170">
        <v>-16000</v>
      </c>
    </row>
    <row r="13" spans="1:4" ht="57.75">
      <c r="A13" s="169"/>
      <c r="B13" s="170"/>
      <c r="C13" s="169" t="s">
        <v>229</v>
      </c>
      <c r="D13" s="170">
        <v>35000</v>
      </c>
    </row>
    <row r="14" spans="1:4" ht="17.25" customHeight="1">
      <c r="A14" s="171" t="s">
        <v>230</v>
      </c>
      <c r="B14" s="171"/>
      <c r="C14" s="171"/>
      <c r="D14" s="171"/>
    </row>
    <row r="15" spans="1:4" ht="29.25">
      <c r="A15" s="169"/>
      <c r="B15" s="170"/>
      <c r="C15" s="169" t="s">
        <v>231</v>
      </c>
      <c r="D15" s="170">
        <v>16000</v>
      </c>
    </row>
    <row r="16" spans="1:4" ht="17.25" customHeight="1">
      <c r="A16" s="171" t="s">
        <v>232</v>
      </c>
      <c r="B16" s="171"/>
      <c r="C16" s="171"/>
      <c r="D16" s="171"/>
    </row>
    <row r="17" spans="1:4" ht="29.25">
      <c r="A17" s="169"/>
      <c r="B17" s="170"/>
      <c r="C17" s="169" t="s">
        <v>233</v>
      </c>
      <c r="D17" s="170">
        <v>0</v>
      </c>
    </row>
    <row r="18" spans="1:4" ht="17.25" customHeight="1">
      <c r="A18" s="171" t="s">
        <v>234</v>
      </c>
      <c r="B18" s="171"/>
      <c r="C18" s="171"/>
      <c r="D18" s="171"/>
    </row>
    <row r="19" spans="1:4" ht="29.25">
      <c r="A19" s="169" t="s">
        <v>235</v>
      </c>
      <c r="B19" s="170">
        <v>1964162.52</v>
      </c>
      <c r="C19" s="169"/>
      <c r="D19" s="170"/>
    </row>
    <row r="20" spans="1:4" ht="17.25" customHeight="1">
      <c r="A20" s="171" t="s">
        <v>236</v>
      </c>
      <c r="B20" s="171"/>
      <c r="C20" s="171"/>
      <c r="D20" s="171"/>
    </row>
    <row r="21" spans="1:4" ht="29.25">
      <c r="A21" s="169"/>
      <c r="B21" s="170"/>
      <c r="C21" s="169" t="s">
        <v>237</v>
      </c>
      <c r="D21" s="170">
        <v>0</v>
      </c>
    </row>
    <row r="22" spans="1:4" ht="18" customHeight="1">
      <c r="A22" s="171" t="s">
        <v>238</v>
      </c>
      <c r="B22" s="171"/>
      <c r="C22" s="171"/>
      <c r="D22" s="171"/>
    </row>
    <row r="23" spans="1:4" ht="43.5">
      <c r="A23" s="169"/>
      <c r="B23" s="170"/>
      <c r="C23" s="169" t="s">
        <v>239</v>
      </c>
      <c r="D23" s="170">
        <v>495000</v>
      </c>
    </row>
    <row r="24" spans="1:4" ht="17.25">
      <c r="A24" s="172" t="s">
        <v>240</v>
      </c>
      <c r="B24" s="170">
        <f>SUM(B7:B23)</f>
        <v>1964162.52</v>
      </c>
      <c r="C24" s="172" t="s">
        <v>240</v>
      </c>
      <c r="D24" s="170">
        <f>SUM(D5:D23)</f>
        <v>1964162.52</v>
      </c>
    </row>
    <row r="25" spans="1:2" ht="12.75">
      <c r="A25" s="173" t="s">
        <v>241</v>
      </c>
      <c r="B25" s="95"/>
    </row>
  </sheetData>
  <sheetProtection selectLockedCells="1" selectUnlockedCells="1"/>
  <mergeCells count="11">
    <mergeCell ref="A1:D1"/>
    <mergeCell ref="A3:B3"/>
    <mergeCell ref="C3:D3"/>
    <mergeCell ref="A4:D4"/>
    <mergeCell ref="A6:D6"/>
    <mergeCell ref="A8:D8"/>
    <mergeCell ref="A14:D14"/>
    <mergeCell ref="A16:D16"/>
    <mergeCell ref="A18:D18"/>
    <mergeCell ref="A20:D20"/>
    <mergeCell ref="A22:D22"/>
  </mergeCells>
  <printOptions/>
  <pageMargins left="0.39375" right="0.2361111111111111" top="0.2361111111111111" bottom="0.2361111111111111" header="0.5118055555555555" footer="0.5118055555555555"/>
  <pageSetup horizontalDpi="300" verticalDpi="3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D34" sqref="D34"/>
    </sheetView>
  </sheetViews>
  <sheetFormatPr defaultColWidth="12.57421875" defaultRowHeight="12.75"/>
  <cols>
    <col min="1" max="1" width="4.00390625" style="0" customWidth="1"/>
    <col min="2" max="3" width="11.57421875" style="0" customWidth="1"/>
    <col min="4" max="4" width="17.140625" style="0" customWidth="1"/>
    <col min="5" max="5" width="14.140625" style="0" customWidth="1"/>
    <col min="6" max="6" width="16.28125" style="0" customWidth="1"/>
    <col min="7" max="16384" width="11.57421875" style="0" customWidth="1"/>
  </cols>
  <sheetData>
    <row r="1" spans="1:7" ht="12.75">
      <c r="A1" s="144"/>
      <c r="B1" s="144"/>
      <c r="C1" s="144"/>
      <c r="D1" s="145" t="s">
        <v>242</v>
      </c>
      <c r="E1" s="146" t="str">
        <f>zał3!K2</f>
        <v>471/VII/2012</v>
      </c>
      <c r="F1" s="144"/>
      <c r="G1" s="144"/>
    </row>
    <row r="2" spans="1:7" ht="12.75">
      <c r="A2" s="144"/>
      <c r="B2" s="144"/>
      <c r="C2" s="144"/>
      <c r="D2" s="144" t="s">
        <v>63</v>
      </c>
      <c r="E2" s="144"/>
      <c r="F2" s="144"/>
      <c r="G2" s="144"/>
    </row>
    <row r="3" spans="1:7" ht="12.75">
      <c r="A3" s="144" t="str">
        <f>zał3!J4</f>
        <v>z dnia  26 lipca 2012r.</v>
      </c>
      <c r="B3" s="144"/>
      <c r="C3" s="144"/>
      <c r="D3" s="144"/>
      <c r="E3" s="144"/>
      <c r="F3" s="144"/>
      <c r="G3" s="144"/>
    </row>
    <row r="5" spans="2:7" ht="24.75" customHeight="1">
      <c r="B5" s="147" t="s">
        <v>195</v>
      </c>
      <c r="C5" s="147"/>
      <c r="D5" s="147"/>
      <c r="E5" s="147"/>
      <c r="F5" s="147"/>
      <c r="G5" s="147"/>
    </row>
    <row r="7" spans="2:7" ht="30.75" customHeight="1">
      <c r="B7" s="174" t="s">
        <v>243</v>
      </c>
      <c r="C7" s="174"/>
      <c r="D7" s="174"/>
      <c r="E7" s="174"/>
      <c r="F7" s="174"/>
      <c r="G7" s="174"/>
    </row>
    <row r="8" s="163" customFormat="1" ht="10.5" customHeight="1"/>
    <row r="9" spans="1:6" s="163" customFormat="1" ht="18" customHeight="1">
      <c r="A9" s="175" t="s">
        <v>197</v>
      </c>
      <c r="B9" s="176" t="str">
        <f>'Uchwała '!B9</f>
        <v>Zwiększyć</v>
      </c>
      <c r="C9" s="177" t="s">
        <v>198</v>
      </c>
      <c r="D9" s="177"/>
      <c r="E9" s="177"/>
      <c r="F9" s="153">
        <f>'Ogółem Zmiany w paragrafach '!D65</f>
        <v>51781</v>
      </c>
    </row>
    <row r="10" s="163" customFormat="1" ht="10.5" customHeight="1"/>
    <row r="11" spans="1:6" s="163" customFormat="1" ht="18" customHeight="1">
      <c r="A11" s="175" t="s">
        <v>199</v>
      </c>
      <c r="B11" s="176" t="str">
        <f>'Uchwała '!B11</f>
        <v>Zwiększyć</v>
      </c>
      <c r="C11" s="177" t="s">
        <v>200</v>
      </c>
      <c r="D11" s="177"/>
      <c r="E11" s="177"/>
      <c r="F11" s="153">
        <f>'Ogółem Zmiany w paragrafach '!G65</f>
        <v>51781</v>
      </c>
    </row>
    <row r="12" s="163" customFormat="1" ht="11.25" customHeight="1"/>
    <row r="13" spans="1:6" s="163" customFormat="1" ht="18" customHeight="1">
      <c r="A13" s="175" t="s">
        <v>201</v>
      </c>
      <c r="B13" s="178" t="s">
        <v>202</v>
      </c>
      <c r="C13" s="178"/>
      <c r="D13" s="178"/>
      <c r="E13" s="178"/>
      <c r="F13" s="153">
        <f>zał2!F8</f>
        <v>89920637.13</v>
      </c>
    </row>
    <row r="14" spans="2:6" s="163" customFormat="1" ht="18" customHeight="1">
      <c r="B14" s="178" t="s">
        <v>203</v>
      </c>
      <c r="C14" s="178"/>
      <c r="D14" s="178"/>
      <c r="E14" s="178"/>
      <c r="F14" s="153">
        <f>zał2!F9</f>
        <v>60103326.13</v>
      </c>
    </row>
    <row r="15" spans="2:6" s="163" customFormat="1" ht="18.75" customHeight="1">
      <c r="B15" s="179" t="s">
        <v>204</v>
      </c>
      <c r="C15" s="179"/>
      <c r="D15" s="179"/>
      <c r="E15" s="179"/>
      <c r="F15" s="153">
        <f>zał2!F10</f>
        <v>29817311</v>
      </c>
    </row>
    <row r="16" s="163" customFormat="1" ht="12" customHeight="1">
      <c r="F16" s="153"/>
    </row>
    <row r="17" spans="1:6" s="163" customFormat="1" ht="18" customHeight="1">
      <c r="A17" s="175" t="s">
        <v>205</v>
      </c>
      <c r="B17" s="178" t="s">
        <v>206</v>
      </c>
      <c r="C17" s="178"/>
      <c r="D17" s="178"/>
      <c r="E17" s="178"/>
      <c r="F17" s="153">
        <f>zał2!F12</f>
        <v>91724402.13</v>
      </c>
    </row>
    <row r="18" spans="2:6" s="163" customFormat="1" ht="21" customHeight="1">
      <c r="B18" s="180" t="s">
        <v>207</v>
      </c>
      <c r="C18" s="180"/>
      <c r="D18" s="180"/>
      <c r="E18" s="180"/>
      <c r="F18" s="153">
        <f>zał2!F13</f>
        <v>60420235.61</v>
      </c>
    </row>
    <row r="19" spans="2:6" s="163" customFormat="1" ht="18.75" customHeight="1">
      <c r="B19" s="181" t="s">
        <v>208</v>
      </c>
      <c r="C19" s="181"/>
      <c r="D19" s="181"/>
      <c r="E19" s="181"/>
      <c r="F19" s="153">
        <f>zał2!F14</f>
        <v>31304166.52</v>
      </c>
    </row>
    <row r="21" spans="1:7" ht="24.75" customHeight="1">
      <c r="A21" s="157" t="s">
        <v>209</v>
      </c>
      <c r="B21" s="182" t="s">
        <v>244</v>
      </c>
      <c r="C21" s="182"/>
      <c r="D21" s="182"/>
      <c r="E21" s="182"/>
      <c r="F21" s="182"/>
      <c r="G21" s="182"/>
    </row>
    <row r="24" spans="4:7" ht="12.75" customHeight="1">
      <c r="D24" s="161" t="s">
        <v>245</v>
      </c>
      <c r="E24" s="161"/>
      <c r="F24" s="161"/>
      <c r="G24" s="161"/>
    </row>
    <row r="26" spans="4:7" ht="12.75" customHeight="1">
      <c r="D26" s="161" t="s">
        <v>246</v>
      </c>
      <c r="E26" s="161"/>
      <c r="F26" s="161"/>
      <c r="G26" s="161"/>
    </row>
  </sheetData>
  <sheetProtection selectLockedCells="1" selectUnlockedCells="1"/>
  <mergeCells count="15">
    <mergeCell ref="D2:E2"/>
    <mergeCell ref="A3:G3"/>
    <mergeCell ref="B5:G5"/>
    <mergeCell ref="B7:G7"/>
    <mergeCell ref="C9:E9"/>
    <mergeCell ref="C11:E11"/>
    <mergeCell ref="B13:E13"/>
    <mergeCell ref="B14:E14"/>
    <mergeCell ref="B15:E15"/>
    <mergeCell ref="B17:E17"/>
    <mergeCell ref="B18:E18"/>
    <mergeCell ref="B19:E19"/>
    <mergeCell ref="B21:G21"/>
    <mergeCell ref="D24:G24"/>
    <mergeCell ref="D26:G26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3"/>
  <sheetViews>
    <sheetView workbookViewId="0" topLeftCell="A1">
      <selection activeCell="E8" sqref="E8"/>
    </sheetView>
  </sheetViews>
  <sheetFormatPr defaultColWidth="12.57421875" defaultRowHeight="12.75"/>
  <cols>
    <col min="1" max="1" width="19.57421875" style="0" customWidth="1"/>
    <col min="2" max="2" width="11.00390625" style="0" customWidth="1"/>
    <col min="3" max="3" width="6.140625" style="0" customWidth="1"/>
    <col min="4" max="4" width="15.28125" style="0" customWidth="1"/>
    <col min="5" max="5" width="14.140625" style="0" customWidth="1"/>
    <col min="6" max="6" width="6.00390625" style="0" customWidth="1"/>
    <col min="7" max="7" width="19.28125" style="0" customWidth="1"/>
    <col min="8" max="8" width="18.7109375" style="0" customWidth="1"/>
    <col min="9" max="11" width="11.57421875" style="0" customWidth="1"/>
    <col min="12" max="12" width="10.57421875" style="0" customWidth="1"/>
    <col min="13" max="13" width="11.421875" style="0" customWidth="1"/>
    <col min="14" max="16384" width="11.57421875" style="0" customWidth="1"/>
  </cols>
  <sheetData>
    <row r="1" spans="1:8" ht="17.25">
      <c r="A1" s="183" t="s">
        <v>247</v>
      </c>
      <c r="B1" s="183"/>
      <c r="C1" s="183"/>
      <c r="D1" s="183"/>
      <c r="E1" s="183"/>
      <c r="F1" s="183"/>
      <c r="G1" s="183"/>
      <c r="H1" s="183"/>
    </row>
    <row r="2" spans="1:8" ht="15">
      <c r="A2" s="138"/>
      <c r="B2" s="138"/>
      <c r="C2" s="184" t="s">
        <v>248</v>
      </c>
      <c r="D2" s="184"/>
      <c r="E2" s="184"/>
      <c r="F2" s="184" t="s">
        <v>249</v>
      </c>
      <c r="G2" s="184"/>
      <c r="H2" s="184"/>
    </row>
    <row r="3" spans="1:15" ht="65.25" customHeight="1">
      <c r="A3" s="185" t="s">
        <v>250</v>
      </c>
      <c r="B3" s="185" t="s">
        <v>251</v>
      </c>
      <c r="C3" s="186" t="s">
        <v>252</v>
      </c>
      <c r="D3" s="185" t="s">
        <v>253</v>
      </c>
      <c r="E3" s="185" t="s">
        <v>254</v>
      </c>
      <c r="F3" s="186" t="s">
        <v>252</v>
      </c>
      <c r="G3" s="185" t="s">
        <v>253</v>
      </c>
      <c r="H3" s="185" t="s">
        <v>254</v>
      </c>
      <c r="I3" s="187"/>
      <c r="J3" s="187"/>
      <c r="K3" s="188"/>
      <c r="L3" s="189" t="s">
        <v>255</v>
      </c>
      <c r="M3" s="189" t="s">
        <v>255</v>
      </c>
      <c r="N3" s="189" t="s">
        <v>256</v>
      </c>
      <c r="O3" s="189"/>
    </row>
    <row r="4" spans="1:15" ht="12.75">
      <c r="A4" s="190"/>
      <c r="B4" s="191"/>
      <c r="C4" s="191"/>
      <c r="D4" s="192"/>
      <c r="E4" s="192"/>
      <c r="F4" s="193"/>
      <c r="G4" s="192"/>
      <c r="H4" s="192"/>
      <c r="I4" s="194"/>
      <c r="L4" s="195">
        <f>IF($F4=4170,G4,0)+IF($F4=4177,G4,0)+IF($F4=4179,G4,0)+IF($F4=4010,G4,0)+IF($F4=4110,G4,0)+IF($F4=4120,G4,0)+IF($F4=4017,G4,0)+IF($F4=4117,G4,0)+IF($F4=4127,G4,0)+IF($F4=4019,G4,0)+IF($F4=4119,G4,0)+IF($F4=4129,G4,0)+IF($F4=4040,G4,0)+IF($F4=4047,G4,0)+IF($F4=4049,G4,0)</f>
        <v>0</v>
      </c>
      <c r="M4" s="195">
        <f>IF($F4=4170,H4,0)+IF($F4=4177,H4,0)+IF($F4=4179,H4,0)+IF($F4=4010,H4,0)+IF($F4=4110,H4,0)+IF($F4=4120,H4,0)+IF($F4=4017,H4,0)+IF($F4=4117,H4,0)+IF($F4=4127,H4,0)+IF($F4=4019,H4,0)+IF($F4=4119,H4,0)+IF($F4=4129,H4,0)+IF($F4=4040,H4,0)+IF($F4=4047,H4,0)+IF($F4=4049,H4,0)</f>
        <v>0</v>
      </c>
      <c r="N4" s="195">
        <f>IF($B4=75022,G4,0)+IF($B4=75023,G4,0)</f>
        <v>0</v>
      </c>
      <c r="O4" s="195">
        <f>IF($B4=75022,H4,0)+IF($B4=75023,H4,0)</f>
        <v>0</v>
      </c>
    </row>
    <row r="5" spans="1:15" ht="12.75">
      <c r="A5" s="190" t="s">
        <v>257</v>
      </c>
      <c r="B5" s="191" t="s">
        <v>258</v>
      </c>
      <c r="C5" s="191"/>
      <c r="D5" s="192"/>
      <c r="E5" s="192"/>
      <c r="F5" s="193">
        <v>4210</v>
      </c>
      <c r="G5" s="192"/>
      <c r="H5" s="192">
        <v>10000</v>
      </c>
      <c r="I5" s="196"/>
      <c r="L5" s="195">
        <f>IF($F5=4170,G5,0)+IF($F5=4177,G5,0)+IF($F5=4179,G5,0)+IF($F5=4010,G5,0)+IF($F5=4110,G5,0)+IF($F5=4120,G5,0)+IF($F5=4017,G5,0)+IF($F5=4117,G5,0)+IF($F5=4127,G5,0)+IF($F5=4019,G5,0)+IF($F5=4119,G5,0)+IF($F5=4129,G5,0)+IF($F5=4040,G5,0)+IF($F5=4047,G5,0)+IF($F5=4049,G5,0)</f>
        <v>0</v>
      </c>
      <c r="M5" s="195">
        <f>IF($F5=4170,H5,0)+IF($F5=4177,H5,0)+IF($F5=4179,H5,0)+IF($F5=4010,H5,0)+IF($F5=4110,H5,0)+IF($F5=4120,H5,0)+IF($F5=4017,H5,0)+IF($F5=4117,H5,0)+IF($F5=4127,H5,0)+IF($F5=4019,H5,0)+IF($F5=4119,H5,0)+IF($F5=4129,H5,0)+IF($F5=4040,H5,0)+IF($F5=4047,H5,0)+IF($F5=4049,H5,0)</f>
        <v>0</v>
      </c>
      <c r="N5" s="195">
        <f>IF($B5=75022,G5,0)+IF($B5=75023,G5,0)</f>
        <v>0</v>
      </c>
      <c r="O5" s="195">
        <f>IF($B5=75022,H5,0)+IF($B5=75023,H5,0)</f>
        <v>0</v>
      </c>
    </row>
    <row r="6" spans="1:15" ht="12.75">
      <c r="A6" s="190"/>
      <c r="B6" s="191"/>
      <c r="C6" s="191"/>
      <c r="D6" s="192"/>
      <c r="E6" s="192"/>
      <c r="F6" s="193">
        <v>4300</v>
      </c>
      <c r="G6" s="192"/>
      <c r="H6" s="192">
        <v>15000</v>
      </c>
      <c r="I6" s="196"/>
      <c r="L6" s="195">
        <f>IF($F6=4170,G6,0)+IF($F6=4177,G6,0)+IF($F6=4179,G6,0)+IF($F6=4010,G6,0)+IF($F6=4110,G6,0)+IF($F6=4120,G6,0)+IF($F6=4017,G6,0)+IF($F6=4117,G6,0)+IF($F6=4127,G6,0)+IF($F6=4019,G6,0)+IF($F6=4119,G6,0)+IF($F6=4129,G6,0)+IF($F6=4040,G6,0)+IF($F6=4047,G6,0)+IF($F6=4049,G6,0)</f>
        <v>0</v>
      </c>
      <c r="M6" s="195">
        <f>IF($F6=4170,H6,0)+IF($F6=4177,H6,0)+IF($F6=4179,H6,0)+IF($F6=4010,H6,0)+IF($F6=4110,H6,0)+IF($F6=4120,H6,0)+IF($F6=4017,H6,0)+IF($F6=4117,H6,0)+IF($F6=4127,H6,0)+IF($F6=4019,H6,0)+IF($F6=4119,H6,0)+IF($F6=4129,H6,0)+IF($F6=4040,H6,0)+IF($F6=4047,H6,0)+IF($F6=4049,H6,0)</f>
        <v>0</v>
      </c>
      <c r="N6" s="195">
        <f>IF($B6=75022,G6,0)+IF($B6=75023,G6,0)</f>
        <v>0</v>
      </c>
      <c r="O6" s="195">
        <f>IF($B6=75022,H6,0)+IF($B6=75023,H6,0)</f>
        <v>0</v>
      </c>
    </row>
    <row r="7" spans="1:15" ht="12.75">
      <c r="A7" s="190"/>
      <c r="B7" s="191"/>
      <c r="C7" s="191"/>
      <c r="D7" s="192"/>
      <c r="E7" s="192"/>
      <c r="F7" s="193">
        <v>4360</v>
      </c>
      <c r="G7" s="192"/>
      <c r="H7" s="192">
        <v>9000</v>
      </c>
      <c r="I7" s="196"/>
      <c r="L7" s="195">
        <f>IF($F7=4170,G7,0)+IF($F7=4177,G7,0)+IF($F7=4179,G7,0)+IF($F7=4010,G7,0)+IF($F7=4110,G7,0)+IF($F7=4120,G7,0)+IF($F7=4017,G7,0)+IF($F7=4117,G7,0)+IF($F7=4127,G7,0)+IF($F7=4019,G7,0)+IF($F7=4119,G7,0)+IF($F7=4129,G7,0)+IF($F7=4040,G7,0)+IF($F7=4047,G7,0)+IF($F7=4049,G7,0)</f>
        <v>0</v>
      </c>
      <c r="M7" s="195">
        <f>IF($F7=4170,H7,0)+IF($F7=4177,H7,0)+IF($F7=4179,H7,0)+IF($F7=4010,H7,0)+IF($F7=4110,H7,0)+IF($F7=4120,H7,0)+IF($F7=4017,H7,0)+IF($F7=4117,H7,0)+IF($F7=4127,H7,0)+IF($F7=4019,H7,0)+IF($F7=4119,H7,0)+IF($F7=4129,H7,0)+IF($F7=4040,H7,0)+IF($F7=4047,H7,0)+IF($F7=4049,H7,0)</f>
        <v>0</v>
      </c>
      <c r="N7" s="195">
        <f>IF($B7=75022,G7,0)+IF($B7=75023,G7,0)</f>
        <v>0</v>
      </c>
      <c r="O7" s="195">
        <f>IF($B7=75022,H7,0)+IF($B7=75023,H7,0)</f>
        <v>0</v>
      </c>
    </row>
    <row r="8" spans="1:15" ht="12.75">
      <c r="A8" s="190"/>
      <c r="B8" s="191"/>
      <c r="C8" s="191"/>
      <c r="D8" s="192"/>
      <c r="E8" s="192"/>
      <c r="F8" s="193">
        <v>4370</v>
      </c>
      <c r="G8" s="192">
        <v>9000</v>
      </c>
      <c r="H8" s="192"/>
      <c r="I8" s="196"/>
      <c r="L8" s="195">
        <f>IF($F8=4170,G8,0)+IF($F8=4177,G8,0)+IF($F8=4179,G8,0)+IF($F8=4010,G8,0)+IF($F8=4110,G8,0)+IF($F8=4120,G8,0)+IF($F8=4017,G8,0)+IF($F8=4117,G8,0)+IF($F8=4127,G8,0)+IF($F8=4019,G8,0)+IF($F8=4119,G8,0)+IF($F8=4129,G8,0)+IF($F8=4040,G8,0)+IF($F8=4047,G8,0)+IF($F8=4049,G8,0)</f>
        <v>0</v>
      </c>
      <c r="M8" s="195">
        <f>IF($F8=4170,H8,0)+IF($F8=4177,H8,0)+IF($F8=4179,H8,0)+IF($F8=4010,H8,0)+IF($F8=4110,H8,0)+IF($F8=4120,H8,0)+IF($F8=4017,H8,0)+IF($F8=4117,H8,0)+IF($F8=4127,H8,0)+IF($F8=4019,H8,0)+IF($F8=4119,H8,0)+IF($F8=4129,H8,0)+IF($F8=4040,H8,0)+IF($F8=4047,H8,0)+IF($F8=4049,H8,0)</f>
        <v>0</v>
      </c>
      <c r="N8" s="195">
        <f>IF($B8=75022,G8,0)+IF($B8=75023,G8,0)</f>
        <v>0</v>
      </c>
      <c r="O8" s="195">
        <f>IF($B8=75022,H8,0)+IF($B8=75023,H8,0)</f>
        <v>0</v>
      </c>
    </row>
    <row r="9" spans="1:15" ht="12.75">
      <c r="A9" s="190"/>
      <c r="B9" s="191" t="s">
        <v>259</v>
      </c>
      <c r="C9" s="191"/>
      <c r="D9" s="192"/>
      <c r="E9" s="192"/>
      <c r="F9" s="193">
        <v>4210</v>
      </c>
      <c r="G9" s="192"/>
      <c r="H9" s="192">
        <v>5000</v>
      </c>
      <c r="I9" s="196"/>
      <c r="L9" s="195">
        <f>IF($F9=4170,G9,0)+IF($F9=4177,G9,0)+IF($F9=4179,G9,0)+IF($F9=4010,G9,0)+IF($F9=4110,G9,0)+IF($F9=4120,G9,0)+IF($F9=4017,G9,0)+IF($F9=4117,G9,0)+IF($F9=4127,G9,0)+IF($F9=4019,G9,0)+IF($F9=4119,G9,0)+IF($F9=4129,G9,0)+IF($F9=4040,G9,0)+IF($F9=4047,G9,0)+IF($F9=4049,G9,0)</f>
        <v>0</v>
      </c>
      <c r="M9" s="195">
        <f>IF($F9=4170,H9,0)+IF($F9=4177,H9,0)+IF($F9=4179,H9,0)+IF($F9=4010,H9,0)+IF($F9=4110,H9,0)+IF($F9=4120,H9,0)+IF($F9=4017,H9,0)+IF($F9=4117,H9,0)+IF($F9=4127,H9,0)+IF($F9=4019,H9,0)+IF($F9=4119,H9,0)+IF($F9=4129,H9,0)+IF($F9=4040,H9,0)+IF($F9=4047,H9,0)+IF($F9=4049,H9,0)</f>
        <v>0</v>
      </c>
      <c r="N9" s="195">
        <f>IF($B9=75022,G9,0)+IF($B9=75023,G9,0)</f>
        <v>0</v>
      </c>
      <c r="O9" s="195">
        <f>IF($B9=75022,H9,0)+IF($B9=75023,H9,0)</f>
        <v>0</v>
      </c>
    </row>
    <row r="10" spans="1:15" ht="12.75">
      <c r="A10" s="190"/>
      <c r="B10" s="191"/>
      <c r="C10" s="191"/>
      <c r="D10" s="192"/>
      <c r="E10" s="192"/>
      <c r="F10" s="193">
        <v>4300</v>
      </c>
      <c r="G10" s="192">
        <v>30000</v>
      </c>
      <c r="H10" s="192"/>
      <c r="I10" s="196"/>
      <c r="L10" s="195">
        <f>IF($F10=4170,G10,0)+IF($F10=4177,G10,0)+IF($F10=4179,G10,0)+IF($F10=4010,G10,0)+IF($F10=4110,G10,0)+IF($F10=4120,G10,0)+IF($F10=4017,G10,0)+IF($F10=4117,G10,0)+IF($F10=4127,G10,0)+IF($F10=4019,G10,0)+IF($F10=4119,G10,0)+IF($F10=4129,G10,0)+IF($F10=4040,G10,0)+IF($F10=4047,G10,0)+IF($F10=4049,G10,0)</f>
        <v>0</v>
      </c>
      <c r="M10" s="195">
        <f>IF($F10=4170,H10,0)+IF($F10=4177,H10,0)+IF($F10=4179,H10,0)+IF($F10=4010,H10,0)+IF($F10=4110,H10,0)+IF($F10=4120,H10,0)+IF($F10=4017,H10,0)+IF($F10=4117,H10,0)+IF($F10=4127,H10,0)+IF($F10=4019,H10,0)+IF($F10=4119,H10,0)+IF($F10=4129,H10,0)+IF($F10=4040,H10,0)+IF($F10=4047,H10,0)+IF($F10=4049,H10,0)</f>
        <v>0</v>
      </c>
      <c r="N10" s="195">
        <f>IF($B10=75022,G10,0)+IF($B10=75023,G10,0)</f>
        <v>0</v>
      </c>
      <c r="O10" s="195">
        <f>IF($B10=75022,H10,0)+IF($B10=75023,H10,0)</f>
        <v>0</v>
      </c>
    </row>
    <row r="11" spans="1:15" ht="12.75">
      <c r="A11" s="190"/>
      <c r="B11" s="191" t="s">
        <v>260</v>
      </c>
      <c r="C11" s="191"/>
      <c r="D11" s="192"/>
      <c r="E11" s="192"/>
      <c r="F11" s="193">
        <v>4210</v>
      </c>
      <c r="G11" s="192">
        <v>10000</v>
      </c>
      <c r="H11" s="192"/>
      <c r="I11" s="196"/>
      <c r="L11" s="195">
        <f>IF($F11=4170,G11,0)+IF($F11=4177,G11,0)+IF($F11=4179,G11,0)+IF($F11=4010,G11,0)+IF($F11=4110,G11,0)+IF($F11=4120,G11,0)+IF($F11=4017,G11,0)+IF($F11=4117,G11,0)+IF($F11=4127,G11,0)+IF($F11=4019,G11,0)+IF($F11=4119,G11,0)+IF($F11=4129,G11,0)+IF($F11=4040,G11,0)+IF($F11=4047,G11,0)+IF($F11=4049,G11,0)</f>
        <v>0</v>
      </c>
      <c r="M11" s="195">
        <f>IF($F11=4170,H11,0)+IF($F11=4177,H11,0)+IF($F11=4179,H11,0)+IF($F11=4010,H11,0)+IF($F11=4110,H11,0)+IF($F11=4120,H11,0)+IF($F11=4017,H11,0)+IF($F11=4117,H11,0)+IF($F11=4127,H11,0)+IF($F11=4019,H11,0)+IF($F11=4119,H11,0)+IF($F11=4129,H11,0)+IF($F11=4040,H11,0)+IF($F11=4047,H11,0)+IF($F11=4049,H11,0)</f>
        <v>0</v>
      </c>
      <c r="N11" s="195">
        <f>IF($B11=75022,G11,0)+IF($B11=75023,G11,0)</f>
        <v>0</v>
      </c>
      <c r="O11" s="195">
        <f>IF($B11=75022,H11,0)+IF($B11=75023,H11,0)</f>
        <v>0</v>
      </c>
    </row>
    <row r="12" spans="1:15" ht="12.75">
      <c r="A12" s="190"/>
      <c r="B12" s="191"/>
      <c r="C12" s="191"/>
      <c r="D12" s="192"/>
      <c r="E12" s="192"/>
      <c r="F12" s="193">
        <v>4300</v>
      </c>
      <c r="G12" s="192"/>
      <c r="H12" s="192">
        <v>10000</v>
      </c>
      <c r="I12" s="196"/>
      <c r="L12" s="195">
        <f>IF($F12=4170,G12,0)+IF($F12=4177,G12,0)+IF($F12=4179,G12,0)+IF($F12=4010,G12,0)+IF($F12=4110,G12,0)+IF($F12=4120,G12,0)+IF($F12=4017,G12,0)+IF($F12=4117,G12,0)+IF($F12=4127,G12,0)+IF($F12=4019,G12,0)+IF($F12=4119,G12,0)+IF($F12=4129,G12,0)+IF($F12=4040,G12,0)+IF($F12=4047,G12,0)+IF($F12=4049,G12,0)</f>
        <v>0</v>
      </c>
      <c r="M12" s="195">
        <f>IF($F12=4170,H12,0)+IF($F12=4177,H12,0)+IF($F12=4179,H12,0)+IF($F12=4010,H12,0)+IF($F12=4110,H12,0)+IF($F12=4120,H12,0)+IF($F12=4017,H12,0)+IF($F12=4117,H12,0)+IF($F12=4127,H12,0)+IF($F12=4019,H12,0)+IF($F12=4119,H12,0)+IF($F12=4129,H12,0)+IF($F12=4040,H12,0)+IF($F12=4047,H12,0)+IF($F12=4049,H12,0)</f>
        <v>0</v>
      </c>
      <c r="N12" s="195">
        <f>IF($B12=75022,G12,0)+IF($B12=75023,G12,0)</f>
        <v>0</v>
      </c>
      <c r="O12" s="195">
        <f>IF($B12=75022,H12,0)+IF($B12=75023,H12,0)</f>
        <v>0</v>
      </c>
    </row>
    <row r="13" spans="1:15" ht="12.75">
      <c r="A13" s="190"/>
      <c r="B13" s="191" t="s">
        <v>261</v>
      </c>
      <c r="C13" s="191"/>
      <c r="D13" s="192"/>
      <c r="E13" s="192"/>
      <c r="F13" s="193">
        <v>4270</v>
      </c>
      <c r="G13" s="192">
        <v>32700</v>
      </c>
      <c r="H13" s="192"/>
      <c r="I13" s="196"/>
      <c r="L13" s="195">
        <f>IF($F13=4170,G13,0)+IF($F13=4177,G13,0)+IF($F13=4179,G13,0)+IF($F13=4010,G13,0)+IF($F13=4110,G13,0)+IF($F13=4120,G13,0)+IF($F13=4017,G13,0)+IF($F13=4117,G13,0)+IF($F13=4127,G13,0)+IF($F13=4019,G13,0)+IF($F13=4119,G13,0)+IF($F13=4129,G13,0)+IF($F13=4040,G13,0)+IF($F13=4047,G13,0)+IF($F13=4049,G13,0)</f>
        <v>0</v>
      </c>
      <c r="M13" s="195">
        <f>IF($F13=4170,H13,0)+IF($F13=4177,H13,0)+IF($F13=4179,H13,0)+IF($F13=4010,H13,0)+IF($F13=4110,H13,0)+IF($F13=4120,H13,0)+IF($F13=4017,H13,0)+IF($F13=4117,H13,0)+IF($F13=4127,H13,0)+IF($F13=4019,H13,0)+IF($F13=4119,H13,0)+IF($F13=4129,H13,0)+IF($F13=4040,H13,0)+IF($F13=4047,H13,0)+IF($F13=4049,H13,0)</f>
        <v>0</v>
      </c>
      <c r="N13" s="195">
        <f>IF($B13=75022,G13,0)+IF($B13=75023,G13,0)</f>
        <v>0</v>
      </c>
      <c r="O13" s="195">
        <f>IF($B13=75022,H13,0)+IF($B13=75023,H13,0)</f>
        <v>0</v>
      </c>
    </row>
    <row r="14" spans="1:15" ht="12.75">
      <c r="A14" s="190"/>
      <c r="B14" s="191"/>
      <c r="C14" s="191"/>
      <c r="D14" s="192"/>
      <c r="E14" s="192"/>
      <c r="F14" s="193">
        <v>4300</v>
      </c>
      <c r="G14" s="192"/>
      <c r="H14" s="192">
        <v>30000</v>
      </c>
      <c r="I14" s="196"/>
      <c r="L14" s="195">
        <f>IF($F14=4170,G14,0)+IF($F14=4177,G14,0)+IF($F14=4179,G14,0)+IF($F14=4010,G14,0)+IF($F14=4110,G14,0)+IF($F14=4120,G14,0)+IF($F14=4017,G14,0)+IF($F14=4117,G14,0)+IF($F14=4127,G14,0)+IF($F14=4019,G14,0)+IF($F14=4119,G14,0)+IF($F14=4129,G14,0)+IF($F14=4040,G14,0)+IF($F14=4047,G14,0)+IF($F14=4049,G14,0)</f>
        <v>0</v>
      </c>
      <c r="M14" s="195">
        <f>IF($F14=4170,H14,0)+IF($F14=4177,H14,0)+IF($F14=4179,H14,0)+IF($F14=4010,H14,0)+IF($F14=4110,H14,0)+IF($F14=4120,H14,0)+IF($F14=4017,H14,0)+IF($F14=4117,H14,0)+IF($F14=4127,H14,0)+IF($F14=4019,H14,0)+IF($F14=4119,H14,0)+IF($F14=4129,H14,0)+IF($F14=4040,H14,0)+IF($F14=4047,H14,0)+IF($F14=4049,H14,0)</f>
        <v>0</v>
      </c>
      <c r="N14" s="195">
        <f>IF($B14=75022,G14,0)+IF($B14=75023,G14,0)</f>
        <v>0</v>
      </c>
      <c r="O14" s="195">
        <f>IF($B14=75022,H14,0)+IF($B14=75023,H14,0)</f>
        <v>0</v>
      </c>
    </row>
    <row r="15" spans="1:15" ht="12.75">
      <c r="A15" s="190"/>
      <c r="B15" s="191"/>
      <c r="C15" s="191"/>
      <c r="D15" s="192"/>
      <c r="E15" s="192"/>
      <c r="F15" s="193">
        <v>4580</v>
      </c>
      <c r="G15" s="192"/>
      <c r="H15" s="192">
        <v>600</v>
      </c>
      <c r="I15" s="196"/>
      <c r="L15" s="195">
        <f>IF($F15=4170,G15,0)+IF($F15=4177,G15,0)+IF($F15=4179,G15,0)+IF($F15=4010,G15,0)+IF($F15=4110,G15,0)+IF($F15=4120,G15,0)+IF($F15=4017,G15,0)+IF($F15=4117,G15,0)+IF($F15=4127,G15,0)+IF($F15=4019,G15,0)+IF($F15=4119,G15,0)+IF($F15=4129,G15,0)+IF($F15=4040,G15,0)+IF($F15=4047,G15,0)+IF($F15=4049,G15,0)</f>
        <v>0</v>
      </c>
      <c r="M15" s="195">
        <f>IF($F15=4170,H15,0)+IF($F15=4177,H15,0)+IF($F15=4179,H15,0)+IF($F15=4010,H15,0)+IF($F15=4110,H15,0)+IF($F15=4120,H15,0)+IF($F15=4017,H15,0)+IF($F15=4117,H15,0)+IF($F15=4127,H15,0)+IF($F15=4019,H15,0)+IF($F15=4119,H15,0)+IF($F15=4129,H15,0)+IF($F15=4040,H15,0)+IF($F15=4047,H15,0)+IF($F15=4049,H15,0)</f>
        <v>0</v>
      </c>
      <c r="N15" s="195">
        <f>IF($B15=75022,G15,0)+IF($B15=75023,G15,0)</f>
        <v>0</v>
      </c>
      <c r="O15" s="195">
        <f>IF($B15=75022,H15,0)+IF($B15=75023,H15,0)</f>
        <v>0</v>
      </c>
    </row>
    <row r="16" spans="1:15" ht="12.75">
      <c r="A16" s="190"/>
      <c r="B16" s="191"/>
      <c r="C16" s="191"/>
      <c r="D16" s="192"/>
      <c r="E16" s="192"/>
      <c r="F16" s="193">
        <v>4590</v>
      </c>
      <c r="G16" s="192"/>
      <c r="H16" s="192">
        <v>2100</v>
      </c>
      <c r="I16" s="196"/>
      <c r="L16" s="195">
        <f>IF($F16=4170,G16,0)+IF($F16=4177,G16,0)+IF($F16=4179,G16,0)+IF($F16=4010,G16,0)+IF($F16=4110,G16,0)+IF($F16=4120,G16,0)+IF($F16=4017,G16,0)+IF($F16=4117,G16,0)+IF($F16=4127,G16,0)+IF($F16=4019,G16,0)+IF($F16=4119,G16,0)+IF($F16=4129,G16,0)+IF($F16=4040,G16,0)+IF($F16=4047,G16,0)+IF($F16=4049,G16,0)</f>
        <v>0</v>
      </c>
      <c r="M16" s="195">
        <f>IF($F16=4170,H16,0)+IF($F16=4177,H16,0)+IF($F16=4179,H16,0)+IF($F16=4010,H16,0)+IF($F16=4110,H16,0)+IF($F16=4120,H16,0)+IF($F16=4017,H16,0)+IF($F16=4117,H16,0)+IF($F16=4127,H16,0)+IF($F16=4019,H16,0)+IF($F16=4119,H16,0)+IF($F16=4129,H16,0)+IF($F16=4040,H16,0)+IF($F16=4047,H16,0)+IF($F16=4049,H16,0)</f>
        <v>0</v>
      </c>
      <c r="N16" s="195">
        <f>IF($B16=75022,G16,0)+IF($B16=75023,G16,0)</f>
        <v>0</v>
      </c>
      <c r="O16" s="195">
        <f>IF($B16=75022,H16,0)+IF($B16=75023,H16,0)</f>
        <v>0</v>
      </c>
    </row>
    <row r="17" spans="1:15" ht="12.75">
      <c r="A17" s="190"/>
      <c r="B17" s="191"/>
      <c r="C17" s="191"/>
      <c r="D17" s="192"/>
      <c r="E17" s="192"/>
      <c r="F17" s="193"/>
      <c r="G17" s="192"/>
      <c r="H17" s="192"/>
      <c r="I17" s="196"/>
      <c r="L17" s="195">
        <f>IF($F17=4170,G17,0)+IF($F17=4177,G17,0)+IF($F17=4179,G17,0)+IF($F17=4010,G17,0)+IF($F17=4110,G17,0)+IF($F17=4120,G17,0)+IF($F17=4017,G17,0)+IF($F17=4117,G17,0)+IF($F17=4127,G17,0)+IF($F17=4019,G17,0)+IF($F17=4119,G17,0)+IF($F17=4129,G17,0)+IF($F17=4040,G17,0)+IF($F17=4047,G17,0)+IF($F17=4049,G17,0)</f>
        <v>0</v>
      </c>
      <c r="M17" s="195">
        <f>IF($F17=4170,H17,0)+IF($F17=4177,H17,0)+IF($F17=4179,H17,0)+IF($F17=4010,H17,0)+IF($F17=4110,H17,0)+IF($F17=4120,H17,0)+IF($F17=4017,H17,0)+IF($F17=4117,H17,0)+IF($F17=4127,H17,0)+IF($F17=4019,H17,0)+IF($F17=4119,H17,0)+IF($F17=4129,H17,0)+IF($F17=4040,H17,0)+IF($F17=4047,H17,0)+IF($F17=4049,H17,0)</f>
        <v>0</v>
      </c>
      <c r="N17" s="195">
        <f>IF($B17=75022,G17,0)+IF($B17=75023,G17,0)</f>
        <v>0</v>
      </c>
      <c r="O17" s="195">
        <f>IF($B17=75022,H17,0)+IF($B17=75023,H17,0)</f>
        <v>0</v>
      </c>
    </row>
    <row r="18" spans="1:15" ht="12.75">
      <c r="A18" s="190"/>
      <c r="B18" s="191" t="s">
        <v>262</v>
      </c>
      <c r="C18" s="191"/>
      <c r="D18" s="192"/>
      <c r="E18" s="192"/>
      <c r="F18" s="193">
        <v>4260</v>
      </c>
      <c r="G18" s="192"/>
      <c r="H18" s="192">
        <v>5000</v>
      </c>
      <c r="I18" s="196"/>
      <c r="L18" s="195">
        <f>IF($F18=4170,G18,0)+IF($F18=4177,G18,0)+IF($F18=4179,G18,0)+IF($F18=4010,G18,0)+IF($F18=4110,G18,0)+IF($F18=4120,G18,0)+IF($F18=4017,G18,0)+IF($F18=4117,G18,0)+IF($F18=4127,G18,0)+IF($F18=4019,G18,0)+IF($F18=4119,G18,0)+IF($F18=4129,G18,0)+IF($F18=4040,G18,0)+IF($F18=4047,G18,0)+IF($F18=4049,G18,0)</f>
        <v>0</v>
      </c>
      <c r="M18" s="195">
        <f>IF($F18=4170,H18,0)+IF($F18=4177,H18,0)+IF($F18=4179,H18,0)+IF($F18=4010,H18,0)+IF($F18=4110,H18,0)+IF($F18=4120,H18,0)+IF($F18=4017,H18,0)+IF($F18=4117,H18,0)+IF($F18=4127,H18,0)+IF($F18=4019,H18,0)+IF($F18=4119,H18,0)+IF($F18=4129,H18,0)+IF($F18=4040,H18,0)+IF($F18=4047,H18,0)+IF($F18=4049,H18,0)</f>
        <v>0</v>
      </c>
      <c r="N18" s="195">
        <f>IF($B18=75022,G18,0)+IF($B18=75023,G18,0)</f>
        <v>0</v>
      </c>
      <c r="O18" s="195">
        <f>IF($B18=75022,H18,0)+IF($B18=75023,H18,0)</f>
        <v>0</v>
      </c>
    </row>
    <row r="19" spans="1:15" ht="12.75">
      <c r="A19" s="190"/>
      <c r="B19" s="191"/>
      <c r="C19" s="191"/>
      <c r="D19" s="192"/>
      <c r="E19" s="192"/>
      <c r="F19" s="193">
        <v>4300</v>
      </c>
      <c r="G19" s="192">
        <v>5000</v>
      </c>
      <c r="H19" s="192"/>
      <c r="I19" s="196"/>
      <c r="L19" s="195">
        <f>IF($F19=4170,G19,0)+IF($F19=4177,G19,0)+IF($F19=4179,G19,0)+IF($F19=4010,G19,0)+IF($F19=4110,G19,0)+IF($F19=4120,G19,0)+IF($F19=4017,G19,0)+IF($F19=4117,G19,0)+IF($F19=4127,G19,0)+IF($F19=4019,G19,0)+IF($F19=4119,G19,0)+IF($F19=4129,G19,0)+IF($F19=4040,G19,0)+IF($F19=4047,G19,0)+IF($F19=4049,G19,0)</f>
        <v>0</v>
      </c>
      <c r="M19" s="195">
        <f>IF($F19=4170,H19,0)+IF($F19=4177,H19,0)+IF($F19=4179,H19,0)+IF($F19=4010,H19,0)+IF($F19=4110,H19,0)+IF($F19=4120,H19,0)+IF($F19=4017,H19,0)+IF($F19=4117,H19,0)+IF($F19=4127,H19,0)+IF($F19=4019,H19,0)+IF($F19=4119,H19,0)+IF($F19=4129,H19,0)+IF($F19=4040,H19,0)+IF($F19=4047,H19,0)+IF($F19=4049,H19,0)</f>
        <v>0</v>
      </c>
      <c r="N19" s="195">
        <f>IF($B19=75022,G19,0)+IF($B19=75023,G19,0)</f>
        <v>0</v>
      </c>
      <c r="O19" s="195">
        <f>IF($B19=75022,H19,0)+IF($B19=75023,H19,0)</f>
        <v>0</v>
      </c>
    </row>
    <row r="20" spans="1:15" ht="12.75">
      <c r="A20" s="190"/>
      <c r="B20" s="191" t="s">
        <v>263</v>
      </c>
      <c r="C20" s="191"/>
      <c r="D20" s="192"/>
      <c r="E20" s="192"/>
      <c r="F20" s="193">
        <v>4217</v>
      </c>
      <c r="G20" s="192">
        <v>770</v>
      </c>
      <c r="H20" s="192"/>
      <c r="I20" s="196"/>
      <c r="L20" s="195">
        <f>IF($F20=4170,G20,0)+IF($F20=4177,G20,0)+IF($F20=4179,G20,0)+IF($F20=4010,G20,0)+IF($F20=4110,G20,0)+IF($F20=4120,G20,0)+IF($F20=4017,G20,0)+IF($F20=4117,G20,0)+IF($F20=4127,G20,0)+IF($F20=4019,G20,0)+IF($F20=4119,G20,0)+IF($F20=4129,G20,0)+IF($F20=4040,G20,0)+IF($F20=4047,G20,0)+IF($F20=4049,G20,0)</f>
        <v>0</v>
      </c>
      <c r="M20" s="195">
        <f>IF($F20=4170,H20,0)+IF($F20=4177,H20,0)+IF($F20=4179,H20,0)+IF($F20=4010,H20,0)+IF($F20=4110,H20,0)+IF($F20=4120,H20,0)+IF($F20=4017,H20,0)+IF($F20=4117,H20,0)+IF($F20=4127,H20,0)+IF($F20=4019,H20,0)+IF($F20=4119,H20,0)+IF($F20=4129,H20,0)+IF($F20=4040,H20,0)+IF($F20=4047,H20,0)+IF($F20=4049,H20,0)</f>
        <v>0</v>
      </c>
      <c r="N20" s="195">
        <f>IF($B20=75022,G20,0)+IF($B20=75023,G20,0)</f>
        <v>0</v>
      </c>
      <c r="O20" s="195">
        <f>IF($B20=75022,H20,0)+IF($B20=75023,H20,0)</f>
        <v>0</v>
      </c>
    </row>
    <row r="21" spans="1:15" ht="12.75">
      <c r="A21" s="190"/>
      <c r="B21" s="191"/>
      <c r="C21" s="191"/>
      <c r="D21" s="192"/>
      <c r="E21" s="192"/>
      <c r="F21" s="193">
        <v>4219</v>
      </c>
      <c r="G21" s="192"/>
      <c r="H21" s="192">
        <v>770</v>
      </c>
      <c r="I21" s="196"/>
      <c r="L21" s="195">
        <f>IF($F21=4170,G21,0)+IF($F21=4177,G21,0)+IF($F21=4179,G21,0)+IF($F21=4010,G21,0)+IF($F21=4110,G21,0)+IF($F21=4120,G21,0)+IF($F21=4017,G21,0)+IF($F21=4117,G21,0)+IF($F21=4127,G21,0)+IF($F21=4019,G21,0)+IF($F21=4119,G21,0)+IF($F21=4129,G21,0)+IF($F21=4040,G21,0)+IF($F21=4047,G21,0)+IF($F21=4049,G21,0)</f>
        <v>0</v>
      </c>
      <c r="M21" s="195">
        <f>IF($F21=4170,H21,0)+IF($F21=4177,H21,0)+IF($F21=4179,H21,0)+IF($F21=4010,H21,0)+IF($F21=4110,H21,0)+IF($F21=4120,H21,0)+IF($F21=4017,H21,0)+IF($F21=4117,H21,0)+IF($F21=4127,H21,0)+IF($F21=4019,H21,0)+IF($F21=4119,H21,0)+IF($F21=4129,H21,0)+IF($F21=4040,H21,0)+IF($F21=4047,H21,0)+IF($F21=4049,H21,0)</f>
        <v>0</v>
      </c>
      <c r="N21" s="195">
        <f>IF($B21=75022,G21,0)+IF($B21=75023,G21,0)</f>
        <v>0</v>
      </c>
      <c r="O21" s="195">
        <f>IF($B21=75022,H21,0)+IF($B21=75023,H21,0)</f>
        <v>0</v>
      </c>
    </row>
    <row r="22" spans="1:15" ht="12.75">
      <c r="A22" s="197"/>
      <c r="B22" s="191" t="s">
        <v>264</v>
      </c>
      <c r="C22" s="191"/>
      <c r="D22" s="192"/>
      <c r="E22" s="192"/>
      <c r="F22" s="193">
        <v>4300</v>
      </c>
      <c r="G22" s="192"/>
      <c r="H22" s="192">
        <v>1000</v>
      </c>
      <c r="I22" s="196"/>
      <c r="L22" s="195">
        <f>IF($F22=4170,G22,0)+IF($F22=4177,G22,0)+IF($F22=4179,G22,0)+IF($F22=4010,G22,0)+IF($F22=4110,G22,0)+IF($F22=4120,G22,0)+IF($F22=4017,G22,0)+IF($F22=4117,G22,0)+IF($F22=4127,G22,0)+IF($F22=4019,G22,0)+IF($F22=4119,G22,0)+IF($F22=4129,G22,0)+IF($F22=4040,G22,0)+IF($F22=4047,G22,0)+IF($F22=4049,G22,0)</f>
        <v>0</v>
      </c>
      <c r="M22" s="195">
        <f>IF($F22=4170,H22,0)+IF($F22=4177,H22,0)+IF($F22=4179,H22,0)+IF($F22=4010,H22,0)+IF($F22=4110,H22,0)+IF($F22=4120,H22,0)+IF($F22=4017,H22,0)+IF($F22=4117,H22,0)+IF($F22=4127,H22,0)+IF($F22=4019,H22,0)+IF($F22=4119,H22,0)+IF($F22=4129,H22,0)+IF($F22=4040,H22,0)+IF($F22=4047,H22,0)+IF($F22=4049,H22,0)</f>
        <v>0</v>
      </c>
      <c r="N22" s="195">
        <f>IF($B22=75022,G22,0)+IF($B22=75023,G22,0)</f>
        <v>0</v>
      </c>
      <c r="O22" s="195">
        <f>IF($B22=75022,H22,0)+IF($B22=75023,H22,0)</f>
        <v>0</v>
      </c>
    </row>
    <row r="23" spans="1:15" ht="12.75">
      <c r="A23" s="197"/>
      <c r="B23" s="191"/>
      <c r="C23" s="191"/>
      <c r="D23" s="192"/>
      <c r="E23" s="192"/>
      <c r="F23" s="193">
        <v>4360</v>
      </c>
      <c r="G23" s="192">
        <v>500</v>
      </c>
      <c r="H23" s="192"/>
      <c r="I23" s="196"/>
      <c r="L23" s="195">
        <f>IF($F23=4170,G23,0)+IF($F23=4177,G23,0)+IF($F23=4179,G23,0)+IF($F23=4010,G23,0)+IF($F23=4110,G23,0)+IF($F23=4120,G23,0)+IF($F23=4017,G23,0)+IF($F23=4117,G23,0)+IF($F23=4127,G23,0)+IF($F23=4019,G23,0)+IF($F23=4119,G23,0)+IF($F23=4129,G23,0)+IF($F23=4040,G23,0)+IF($F23=4047,G23,0)+IF($F23=4049,G23,0)</f>
        <v>0</v>
      </c>
      <c r="M23" s="195">
        <f>IF($F23=4170,H23,0)+IF($F23=4177,H23,0)+IF($F23=4179,H23,0)+IF($F23=4010,H23,0)+IF($F23=4110,H23,0)+IF($F23=4120,H23,0)+IF($F23=4017,H23,0)+IF($F23=4117,H23,0)+IF($F23=4127,H23,0)+IF($F23=4019,H23,0)+IF($F23=4119,H23,0)+IF($F23=4129,H23,0)+IF($F23=4040,H23,0)+IF($F23=4047,H23,0)+IF($F23=4049,H23,0)</f>
        <v>0</v>
      </c>
      <c r="N23" s="195">
        <f>IF($B23=75022,G23,0)+IF($B23=75023,G23,0)</f>
        <v>0</v>
      </c>
      <c r="O23" s="195">
        <f>IF($B23=75022,H23,0)+IF($B23=75023,H23,0)</f>
        <v>0</v>
      </c>
    </row>
    <row r="24" spans="1:15" ht="12.75">
      <c r="A24" s="190"/>
      <c r="B24" s="191"/>
      <c r="C24" s="191"/>
      <c r="D24" s="192"/>
      <c r="E24" s="192"/>
      <c r="F24" s="193">
        <v>4370</v>
      </c>
      <c r="G24" s="192">
        <v>500</v>
      </c>
      <c r="H24" s="192"/>
      <c r="I24" s="196"/>
      <c r="L24" s="195">
        <f>IF($F24=4170,G24,0)+IF($F24=4177,G24,0)+IF($F24=4179,G24,0)+IF($F24=4010,G24,0)+IF($F24=4110,G24,0)+IF($F24=4120,G24,0)+IF($F24=4017,G24,0)+IF($F24=4117,G24,0)+IF($F24=4127,G24,0)+IF($F24=4019,G24,0)+IF($F24=4119,G24,0)+IF($F24=4129,G24,0)+IF($F24=4040,G24,0)+IF($F24=4047,G24,0)+IF($F24=4049,G24,0)</f>
        <v>0</v>
      </c>
      <c r="M24" s="195">
        <f>IF($F24=4170,H24,0)+IF($F24=4177,H24,0)+IF($F24=4179,H24,0)+IF($F24=4010,H24,0)+IF($F24=4110,H24,0)+IF($F24=4120,H24,0)+IF($F24=4017,H24,0)+IF($F24=4117,H24,0)+IF($F24=4127,H24,0)+IF($F24=4019,H24,0)+IF($F24=4119,H24,0)+IF($F24=4129,H24,0)+IF($F24=4040,H24,0)+IF($F24=4047,H24,0)+IF($F24=4049,H24,0)</f>
        <v>0</v>
      </c>
      <c r="N24" s="195">
        <f>IF($B24=75022,G24,0)+IF($B24=75023,G24,0)</f>
        <v>0</v>
      </c>
      <c r="O24" s="195">
        <f>IF($B24=75022,H24,0)+IF($B24=75023,H24,0)</f>
        <v>0</v>
      </c>
    </row>
    <row r="25" spans="1:15" ht="12.75">
      <c r="A25" s="190"/>
      <c r="B25" s="191" t="s">
        <v>265</v>
      </c>
      <c r="C25" s="191" t="s">
        <v>266</v>
      </c>
      <c r="D25" s="192"/>
      <c r="E25" s="192">
        <v>49207</v>
      </c>
      <c r="F25" s="193">
        <v>3110</v>
      </c>
      <c r="G25" s="192"/>
      <c r="H25" s="192">
        <v>49207</v>
      </c>
      <c r="I25" s="196"/>
      <c r="L25" s="195">
        <f>IF($F25=4170,G25,0)+IF($F25=4177,G25,0)+IF($F25=4179,G25,0)+IF($F25=4010,G25,0)+IF($F25=4110,G25,0)+IF($F25=4120,G25,0)+IF($F25=4017,G25,0)+IF($F25=4117,G25,0)+IF($F25=4127,G25,0)+IF($F25=4019,G25,0)+IF($F25=4119,G25,0)+IF($F25=4129,G25,0)+IF($F25=4040,G25,0)+IF($F25=4047,G25,0)+IF($F25=4049,G25,0)</f>
        <v>0</v>
      </c>
      <c r="M25" s="195">
        <f>IF($F25=4170,H25,0)+IF($F25=4177,H25,0)+IF($F25=4179,H25,0)+IF($F25=4010,H25,0)+IF($F25=4110,H25,0)+IF($F25=4120,H25,0)+IF($F25=4017,H25,0)+IF($F25=4117,H25,0)+IF($F25=4127,H25,0)+IF($F25=4019,H25,0)+IF($F25=4119,H25,0)+IF($F25=4129,H25,0)+IF($F25=4040,H25,0)+IF($F25=4047,H25,0)+IF($F25=4049,H25,0)</f>
        <v>0</v>
      </c>
      <c r="N25" s="195">
        <f>IF($B25=75022,G25,0)+IF($B25=75023,G25,0)</f>
        <v>0</v>
      </c>
      <c r="O25" s="195">
        <f>IF($B25=75022,H25,0)+IF($B25=75023,H25,0)</f>
        <v>0</v>
      </c>
    </row>
    <row r="26" spans="1:15" ht="12.75">
      <c r="A26" s="190" t="s">
        <v>267</v>
      </c>
      <c r="B26" s="191" t="s">
        <v>268</v>
      </c>
      <c r="C26" s="191"/>
      <c r="D26" s="192"/>
      <c r="E26" s="192"/>
      <c r="F26" s="193">
        <v>4210</v>
      </c>
      <c r="G26" s="192">
        <v>8610</v>
      </c>
      <c r="H26" s="192"/>
      <c r="I26" s="196"/>
      <c r="L26" s="195">
        <f>IF($F26=4170,G26,0)+IF($F26=4177,G26,0)+IF($F26=4179,G26,0)+IF($F26=4010,G26,0)+IF($F26=4110,G26,0)+IF($F26=4120,G26,0)+IF($F26=4017,G26,0)+IF($F26=4117,G26,0)+IF($F26=4127,G26,0)+IF($F26=4019,G26,0)+IF($F26=4119,G26,0)+IF($F26=4129,G26,0)+IF($F26=4040,G26,0)+IF($F26=4047,G26,0)+IF($F26=4049,G26,0)</f>
        <v>0</v>
      </c>
      <c r="M26" s="195">
        <f>IF($F26=4170,H26,0)+IF($F26=4177,H26,0)+IF($F26=4179,H26,0)+IF($F26=4010,H26,0)+IF($F26=4110,H26,0)+IF($F26=4120,H26,0)+IF($F26=4017,H26,0)+IF($F26=4117,H26,0)+IF($F26=4127,H26,0)+IF($F26=4019,H26,0)+IF($F26=4119,H26,0)+IF($F26=4129,H26,0)+IF($F26=4040,H26,0)+IF($F26=4047,H26,0)+IF($F26=4049,H26,0)</f>
        <v>0</v>
      </c>
      <c r="N26" s="195">
        <f>IF($B26=75022,G26,0)+IF($B26=75023,G26,0)</f>
        <v>0</v>
      </c>
      <c r="O26" s="195">
        <f>IF($B26=75022,H26,0)+IF($B26=75023,H26,0)</f>
        <v>0</v>
      </c>
    </row>
    <row r="27" spans="1:15" ht="12.75">
      <c r="A27" s="190"/>
      <c r="B27" s="191"/>
      <c r="C27" s="191"/>
      <c r="D27" s="192"/>
      <c r="E27" s="192"/>
      <c r="F27" s="193">
        <v>4300</v>
      </c>
      <c r="G27" s="192"/>
      <c r="H27" s="192">
        <v>9034</v>
      </c>
      <c r="I27" s="196"/>
      <c r="L27" s="195">
        <f>IF($F27=4170,G27,0)+IF($F27=4177,G27,0)+IF($F27=4179,G27,0)+IF($F27=4010,G27,0)+IF($F27=4110,G27,0)+IF($F27=4120,G27,0)+IF($F27=4017,G27,0)+IF($F27=4117,G27,0)+IF($F27=4127,G27,0)+IF($F27=4019,G27,0)+IF($F27=4119,G27,0)+IF($F27=4129,G27,0)+IF($F27=4040,G27,0)+IF($F27=4047,G27,0)+IF($F27=4049,G27,0)</f>
        <v>0</v>
      </c>
      <c r="M27" s="195">
        <f>IF($F27=4170,H27,0)+IF($F27=4177,H27,0)+IF($F27=4179,H27,0)+IF($F27=4010,H27,0)+IF($F27=4110,H27,0)+IF($F27=4120,H27,0)+IF($F27=4017,H27,0)+IF($F27=4117,H27,0)+IF($F27=4127,H27,0)+IF($F27=4019,H27,0)+IF($F27=4119,H27,0)+IF($F27=4129,H27,0)+IF($F27=4040,H27,0)+IF($F27=4047,H27,0)+IF($F27=4049,H27,0)</f>
        <v>0</v>
      </c>
      <c r="N27" s="195">
        <f>IF($B27=75022,G27,0)+IF($B27=75023,G27,0)</f>
        <v>0</v>
      </c>
      <c r="O27" s="195">
        <f>IF($B27=75022,H27,0)+IF($B27=75023,H27,0)</f>
        <v>0</v>
      </c>
    </row>
    <row r="28" spans="1:15" ht="12.75">
      <c r="A28" s="190"/>
      <c r="B28" s="191"/>
      <c r="C28" s="191"/>
      <c r="D28" s="192"/>
      <c r="E28" s="192"/>
      <c r="F28" s="193">
        <v>4440</v>
      </c>
      <c r="G28" s="192">
        <v>424</v>
      </c>
      <c r="H28" s="192"/>
      <c r="I28" s="196"/>
      <c r="L28" s="195">
        <f>IF($F28=4170,G28,0)+IF($F28=4177,G28,0)+IF($F28=4179,G28,0)+IF($F28=4010,G28,0)+IF($F28=4110,G28,0)+IF($F28=4120,G28,0)+IF($F28=4017,G28,0)+IF($F28=4117,G28,0)+IF($F28=4127,G28,0)+IF($F28=4019,G28,0)+IF($F28=4119,G28,0)+IF($F28=4129,G28,0)+IF($F28=4040,G28,0)+IF($F28=4047,G28,0)+IF($F28=4049,G28,0)</f>
        <v>0</v>
      </c>
      <c r="M28" s="195">
        <f>IF($F28=4170,H28,0)+IF($F28=4177,H28,0)+IF($F28=4179,H28,0)+IF($F28=4010,H28,0)+IF($F28=4110,H28,0)+IF($F28=4120,H28,0)+IF($F28=4017,H28,0)+IF($F28=4117,H28,0)+IF($F28=4127,H28,0)+IF($F28=4019,H28,0)+IF($F28=4119,H28,0)+IF($F28=4129,H28,0)+IF($F28=4040,H28,0)+IF($F28=4047,H28,0)+IF($F28=4049,H28,0)</f>
        <v>0</v>
      </c>
      <c r="N28" s="195">
        <f>IF($B28=75022,G28,0)+IF($B28=75023,G28,0)</f>
        <v>0</v>
      </c>
      <c r="O28" s="195">
        <f>IF($B28=75022,H28,0)+IF($B28=75023,H28,0)</f>
        <v>0</v>
      </c>
    </row>
    <row r="29" spans="1:15" ht="24.75">
      <c r="A29" s="190"/>
      <c r="B29" s="191" t="s">
        <v>269</v>
      </c>
      <c r="C29" s="191" t="s">
        <v>270</v>
      </c>
      <c r="D29" s="192"/>
      <c r="E29" s="192">
        <v>2574</v>
      </c>
      <c r="F29" s="193">
        <v>4130</v>
      </c>
      <c r="G29" s="192"/>
      <c r="H29" s="192">
        <v>2574</v>
      </c>
      <c r="I29" s="196" t="s">
        <v>271</v>
      </c>
      <c r="L29" s="195">
        <f>IF($F29=4170,G29,0)+IF($F29=4177,G29,0)+IF($F29=4179,G29,0)+IF($F29=4010,G29,0)+IF($F29=4110,G29,0)+IF($F29=4120,G29,0)+IF($F29=4017,G29,0)+IF($F29=4117,G29,0)+IF($F29=4127,G29,0)+IF($F29=4019,G29,0)+IF($F29=4119,G29,0)+IF($F29=4129,G29,0)+IF($F29=4040,G29,0)+IF($F29=4047,G29,0)+IF($F29=4049,G29,0)</f>
        <v>0</v>
      </c>
      <c r="M29" s="195">
        <f>IF($F29=4170,H29,0)+IF($F29=4177,H29,0)+IF($F29=4179,H29,0)+IF($F29=4010,H29,0)+IF($F29=4110,H29,0)+IF($F29=4120,H29,0)+IF($F29=4017,H29,0)+IF($F29=4117,H29,0)+IF($F29=4127,H29,0)+IF($F29=4019,H29,0)+IF($F29=4119,H29,0)+IF($F29=4129,H29,0)+IF($F29=4040,H29,0)+IF($F29=4047,H29,0)+IF($F29=4049,H29,0)</f>
        <v>0</v>
      </c>
      <c r="N29" s="195">
        <f>IF($B29=75022,G29,0)+IF($B29=75023,G29,0)</f>
        <v>0</v>
      </c>
      <c r="O29" s="195">
        <f>IF($B29=75022,H29,0)+IF($B29=75023,H29,0)</f>
        <v>0</v>
      </c>
    </row>
    <row r="30" spans="1:15" ht="12.75">
      <c r="A30" s="190"/>
      <c r="B30" s="191" t="s">
        <v>272</v>
      </c>
      <c r="C30" s="191"/>
      <c r="D30" s="192"/>
      <c r="E30" s="192"/>
      <c r="F30" s="193">
        <v>4210</v>
      </c>
      <c r="G30" s="192">
        <v>1100</v>
      </c>
      <c r="H30" s="192"/>
      <c r="I30" s="196"/>
      <c r="L30" s="195">
        <f>IF($F30=4170,G30,0)+IF($F30=4177,G30,0)+IF($F30=4179,G30,0)+IF($F30=4010,G30,0)+IF($F30=4110,G30,0)+IF($F30=4120,G30,0)+IF($F30=4017,G30,0)+IF($F30=4117,G30,0)+IF($F30=4127,G30,0)+IF($F30=4019,G30,0)+IF($F30=4119,G30,0)+IF($F30=4129,G30,0)+IF($F30=4040,G30,0)+IF($F30=4047,G30,0)+IF($F30=4049,G30,0)</f>
        <v>0</v>
      </c>
      <c r="M30" s="195">
        <f>IF($F30=4170,H30,0)+IF($F30=4177,H30,0)+IF($F30=4179,H30,0)+IF($F30=4010,H30,0)+IF($F30=4110,H30,0)+IF($F30=4120,H30,0)+IF($F30=4017,H30,0)+IF($F30=4117,H30,0)+IF($F30=4127,H30,0)+IF($F30=4019,H30,0)+IF($F30=4119,H30,0)+IF($F30=4129,H30,0)+IF($F30=4040,H30,0)+IF($F30=4047,H30,0)+IF($F30=4049,H30,0)</f>
        <v>0</v>
      </c>
      <c r="N30" s="195">
        <f>IF($B30=75022,G30,0)+IF($B30=75023,G30,0)</f>
        <v>0</v>
      </c>
      <c r="O30" s="195">
        <f>IF($B30=75022,H30,0)+IF($B30=75023,H30,0)</f>
        <v>0</v>
      </c>
    </row>
    <row r="31" spans="1:15" ht="12.75">
      <c r="A31" s="190"/>
      <c r="B31" s="191"/>
      <c r="C31" s="191"/>
      <c r="D31" s="192"/>
      <c r="E31" s="192"/>
      <c r="F31" s="193">
        <v>4300</v>
      </c>
      <c r="G31" s="192"/>
      <c r="H31" s="192">
        <v>1500</v>
      </c>
      <c r="I31" s="196"/>
      <c r="L31" s="195">
        <f>IF($F31=4170,G31,0)+IF($F31=4177,G31,0)+IF($F31=4179,G31,0)+IF($F31=4010,G31,0)+IF($F31=4110,G31,0)+IF($F31=4120,G31,0)+IF($F31=4017,G31,0)+IF($F31=4117,G31,0)+IF($F31=4127,G31,0)+IF($F31=4019,G31,0)+IF($F31=4119,G31,0)+IF($F31=4129,G31,0)+IF($F31=4040,G31,0)+IF($F31=4047,G31,0)+IF($F31=4049,G31,0)</f>
        <v>0</v>
      </c>
      <c r="M31" s="195">
        <f>IF($F31=4170,H31,0)+IF($F31=4177,H31,0)+IF($F31=4179,H31,0)+IF($F31=4010,H31,0)+IF($F31=4110,H31,0)+IF($F31=4120,H31,0)+IF($F31=4017,H31,0)+IF($F31=4117,H31,0)+IF($F31=4127,H31,0)+IF($F31=4019,H31,0)+IF($F31=4119,H31,0)+IF($F31=4129,H31,0)+IF($F31=4040,H31,0)+IF($F31=4047,H31,0)+IF($F31=4049,H31,0)</f>
        <v>0</v>
      </c>
      <c r="N31" s="195">
        <f>IF($B31=75022,G31,0)+IF($B31=75023,G31,0)</f>
        <v>0</v>
      </c>
      <c r="O31" s="195">
        <f>IF($B31=75022,H31,0)+IF($B31=75023,H31,0)</f>
        <v>0</v>
      </c>
    </row>
    <row r="32" spans="1:15" ht="12.75">
      <c r="A32" s="190"/>
      <c r="B32" s="191"/>
      <c r="C32" s="191"/>
      <c r="D32" s="192"/>
      <c r="E32" s="192"/>
      <c r="F32" s="193">
        <v>4440</v>
      </c>
      <c r="G32" s="192">
        <v>400</v>
      </c>
      <c r="H32" s="192"/>
      <c r="I32" s="196"/>
      <c r="L32" s="195">
        <f>IF($F32=4170,G32,0)+IF($F32=4177,G32,0)+IF($F32=4179,G32,0)+IF($F32=4010,G32,0)+IF($F32=4110,G32,0)+IF($F32=4120,G32,0)+IF($F32=4017,G32,0)+IF($F32=4117,G32,0)+IF($F32=4127,G32,0)+IF($F32=4019,G32,0)+IF($F32=4119,G32,0)+IF($F32=4129,G32,0)+IF($F32=4040,G32,0)+IF($F32=4047,G32,0)+IF($F32=4049,G32,0)</f>
        <v>0</v>
      </c>
      <c r="M32" s="195">
        <f>IF($F32=4170,H32,0)+IF($F32=4177,H32,0)+IF($F32=4179,H32,0)+IF($F32=4010,H32,0)+IF($F32=4110,H32,0)+IF($F32=4120,H32,0)+IF($F32=4017,H32,0)+IF($F32=4117,H32,0)+IF($F32=4127,H32,0)+IF($F32=4019,H32,0)+IF($F32=4119,H32,0)+IF($F32=4129,H32,0)+IF($F32=4040,H32,0)+IF($F32=4047,H32,0)+IF($F32=4049,H32,0)</f>
        <v>0</v>
      </c>
      <c r="N32" s="195">
        <f>IF($B32=75022,G32,0)+IF($B32=75023,G32,0)</f>
        <v>0</v>
      </c>
      <c r="O32" s="195">
        <f>IF($B32=75022,H32,0)+IF($B32=75023,H32,0)</f>
        <v>0</v>
      </c>
    </row>
    <row r="33" spans="1:15" ht="12.75">
      <c r="A33" s="190"/>
      <c r="B33" s="191" t="s">
        <v>273</v>
      </c>
      <c r="C33" s="191"/>
      <c r="D33" s="192"/>
      <c r="E33" s="192"/>
      <c r="F33" s="193">
        <v>4210</v>
      </c>
      <c r="G33" s="192"/>
      <c r="H33" s="192">
        <v>3925</v>
      </c>
      <c r="I33" s="196"/>
      <c r="L33" s="195">
        <f>IF($F33=4170,G33,0)+IF($F33=4177,G33,0)+IF($F33=4179,G33,0)+IF($F33=4010,G33,0)+IF($F33=4110,G33,0)+IF($F33=4120,G33,0)+IF($F33=4017,G33,0)+IF($F33=4117,G33,0)+IF($F33=4127,G33,0)+IF($F33=4019,G33,0)+IF($F33=4119,G33,0)+IF($F33=4129,G33,0)+IF($F33=4040,G33,0)+IF($F33=4047,G33,0)+IF($F33=4049,G33,0)</f>
        <v>0</v>
      </c>
      <c r="M33" s="195">
        <f>IF($F33=4170,H33,0)+IF($F33=4177,H33,0)+IF($F33=4179,H33,0)+IF($F33=4010,H33,0)+IF($F33=4110,H33,0)+IF($F33=4120,H33,0)+IF($F33=4017,H33,0)+IF($F33=4117,H33,0)+IF($F33=4127,H33,0)+IF($F33=4019,H33,0)+IF($F33=4119,H33,0)+IF($F33=4129,H33,0)+IF($F33=4040,H33,0)+IF($F33=4047,H33,0)+IF($F33=4049,H33,0)</f>
        <v>0</v>
      </c>
      <c r="N33" s="195">
        <f>IF($B33=75022,G33,0)+IF($B33=75023,G33,0)</f>
        <v>0</v>
      </c>
      <c r="O33" s="195">
        <f>IF($B33=75022,H33,0)+IF($B33=75023,H33,0)</f>
        <v>0</v>
      </c>
    </row>
    <row r="34" spans="1:15" ht="12.75">
      <c r="A34" s="190"/>
      <c r="B34" s="191"/>
      <c r="C34" s="191"/>
      <c r="D34" s="192"/>
      <c r="E34" s="192"/>
      <c r="F34" s="193">
        <v>4260</v>
      </c>
      <c r="G34" s="192">
        <v>14500</v>
      </c>
      <c r="H34" s="192"/>
      <c r="I34" s="196"/>
      <c r="L34" s="195">
        <f>IF($F34=4170,G34,0)+IF($F34=4177,G34,0)+IF($F34=4179,G34,0)+IF($F34=4010,G34,0)+IF($F34=4110,G34,0)+IF($F34=4120,G34,0)+IF($F34=4017,G34,0)+IF($F34=4117,G34,0)+IF($F34=4127,G34,0)+IF($F34=4019,G34,0)+IF($F34=4119,G34,0)+IF($F34=4129,G34,0)+IF($F34=4040,G34,0)+IF($F34=4047,G34,0)+IF($F34=4049,G34,0)</f>
        <v>0</v>
      </c>
      <c r="M34" s="195">
        <f>IF($F34=4170,H34,0)+IF($F34=4177,H34,0)+IF($F34=4179,H34,0)+IF($F34=4010,H34,0)+IF($F34=4110,H34,0)+IF($F34=4120,H34,0)+IF($F34=4017,H34,0)+IF($F34=4117,H34,0)+IF($F34=4127,H34,0)+IF($F34=4019,H34,0)+IF($F34=4119,H34,0)+IF($F34=4129,H34,0)+IF($F34=4040,H34,0)+IF($F34=4047,H34,0)+IF($F34=4049,H34,0)</f>
        <v>0</v>
      </c>
      <c r="N34" s="195">
        <f>IF($B34=75022,G34,0)+IF($B34=75023,G34,0)</f>
        <v>0</v>
      </c>
      <c r="O34" s="195">
        <f>IF($B34=75022,H34,0)+IF($B34=75023,H34,0)</f>
        <v>0</v>
      </c>
    </row>
    <row r="35" spans="1:15" ht="12.75">
      <c r="A35" s="190"/>
      <c r="B35" s="191"/>
      <c r="C35" s="191"/>
      <c r="D35" s="192"/>
      <c r="E35" s="192"/>
      <c r="F35" s="193">
        <v>4300</v>
      </c>
      <c r="G35" s="192"/>
      <c r="H35" s="192">
        <v>9094</v>
      </c>
      <c r="I35" s="196"/>
      <c r="L35" s="195">
        <f>IF($F35=4170,G35,0)+IF($F35=4177,G35,0)+IF($F35=4179,G35,0)+IF($F35=4010,G35,0)+IF($F35=4110,G35,0)+IF($F35=4120,G35,0)+IF($F35=4017,G35,0)+IF($F35=4117,G35,0)+IF($F35=4127,G35,0)+IF($F35=4019,G35,0)+IF($F35=4119,G35,0)+IF($F35=4129,G35,0)+IF($F35=4040,G35,0)+IF($F35=4047,G35,0)+IF($F35=4049,G35,0)</f>
        <v>0</v>
      </c>
      <c r="M35" s="195">
        <f>IF($F35=4170,H35,0)+IF($F35=4177,H35,0)+IF($F35=4179,H35,0)+IF($F35=4010,H35,0)+IF($F35=4110,H35,0)+IF($F35=4120,H35,0)+IF($F35=4017,H35,0)+IF($F35=4117,H35,0)+IF($F35=4127,H35,0)+IF($F35=4019,H35,0)+IF($F35=4119,H35,0)+IF($F35=4129,H35,0)+IF($F35=4040,H35,0)+IF($F35=4047,H35,0)+IF($F35=4049,H35,0)</f>
        <v>0</v>
      </c>
      <c r="N35" s="195">
        <f>IF($B35=75022,G35,0)+IF($B35=75023,G35,0)</f>
        <v>0</v>
      </c>
      <c r="O35" s="195">
        <f>IF($B35=75022,H35,0)+IF($B35=75023,H35,0)</f>
        <v>0</v>
      </c>
    </row>
    <row r="36" spans="1:15" ht="12.75">
      <c r="A36" s="190"/>
      <c r="B36" s="191"/>
      <c r="C36" s="191"/>
      <c r="D36" s="192"/>
      <c r="E36" s="192"/>
      <c r="F36" s="193">
        <v>4360</v>
      </c>
      <c r="G36" s="192"/>
      <c r="H36" s="192">
        <v>240</v>
      </c>
      <c r="I36" s="196"/>
      <c r="L36" s="195">
        <f>IF($F36=4170,G36,0)+IF($F36=4177,G36,0)+IF($F36=4179,G36,0)+IF($F36=4010,G36,0)+IF($F36=4110,G36,0)+IF($F36=4120,G36,0)+IF($F36=4017,G36,0)+IF($F36=4117,G36,0)+IF($F36=4127,G36,0)+IF($F36=4019,G36,0)+IF($F36=4119,G36,0)+IF($F36=4129,G36,0)+IF($F36=4040,G36,0)+IF($F36=4047,G36,0)+IF($F36=4049,G36,0)</f>
        <v>0</v>
      </c>
      <c r="M36" s="195">
        <f>IF($F36=4170,H36,0)+IF($F36=4177,H36,0)+IF($F36=4179,H36,0)+IF($F36=4010,H36,0)+IF($F36=4110,H36,0)+IF($F36=4120,H36,0)+IF($F36=4017,H36,0)+IF($F36=4117,H36,0)+IF($F36=4127,H36,0)+IF($F36=4019,H36,0)+IF($F36=4119,H36,0)+IF($F36=4129,H36,0)+IF($F36=4040,H36,0)+IF($F36=4047,H36,0)+IF($F36=4049,H36,0)</f>
        <v>0</v>
      </c>
      <c r="N36" s="195">
        <f>IF($B36=75022,G36,0)+IF($B36=75023,G36,0)</f>
        <v>0</v>
      </c>
      <c r="O36" s="195">
        <f>IF($B36=75022,H36,0)+IF($B36=75023,H36,0)</f>
        <v>0</v>
      </c>
    </row>
    <row r="37" spans="1:15" ht="12.75">
      <c r="A37" s="190"/>
      <c r="B37" s="191"/>
      <c r="C37" s="191"/>
      <c r="D37" s="192"/>
      <c r="E37" s="192"/>
      <c r="F37" s="193">
        <v>4440</v>
      </c>
      <c r="G37" s="192"/>
      <c r="H37" s="192">
        <v>1241</v>
      </c>
      <c r="I37" s="196"/>
      <c r="L37" s="195">
        <f>IF($F37=4170,G37,0)+IF($F37=4177,G37,0)+IF($F37=4179,G37,0)+IF($F37=4010,G37,0)+IF($F37=4110,G37,0)+IF($F37=4120,G37,0)+IF($F37=4017,G37,0)+IF($F37=4117,G37,0)+IF($F37=4127,G37,0)+IF($F37=4019,G37,0)+IF($F37=4119,G37,0)+IF($F37=4129,G37,0)+IF($F37=4040,G37,0)+IF($F37=4047,G37,0)+IF($F37=4049,G37,0)</f>
        <v>0</v>
      </c>
      <c r="M37" s="195">
        <f>IF($F37=4170,H37,0)+IF($F37=4177,H37,0)+IF($F37=4179,H37,0)+IF($F37=4010,H37,0)+IF($F37=4110,H37,0)+IF($F37=4120,H37,0)+IF($F37=4017,H37,0)+IF($F37=4117,H37,0)+IF($F37=4127,H37,0)+IF($F37=4019,H37,0)+IF($F37=4119,H37,0)+IF($F37=4129,H37,0)+IF($F37=4040,H37,0)+IF($F37=4047,H37,0)+IF($F37=4049,H37,0)</f>
        <v>0</v>
      </c>
      <c r="N37" s="195">
        <f>IF($B37=75022,G37,0)+IF($B37=75023,G37,0)</f>
        <v>0</v>
      </c>
      <c r="O37" s="195">
        <f>IF($B37=75022,H37,0)+IF($B37=75023,H37,0)</f>
        <v>0</v>
      </c>
    </row>
    <row r="38" spans="1:15" ht="12.75">
      <c r="A38" s="190"/>
      <c r="B38" s="191"/>
      <c r="C38" s="191"/>
      <c r="D38" s="192"/>
      <c r="E38" s="192"/>
      <c r="F38" s="193"/>
      <c r="G38" s="192"/>
      <c r="H38" s="192"/>
      <c r="I38" s="196"/>
      <c r="L38" s="195">
        <f>IF($F38=4170,G38,0)+IF($F38=4177,G38,0)+IF($F38=4179,G38,0)+IF($F38=4010,G38,0)+IF($F38=4110,G38,0)+IF($F38=4120,G38,0)+IF($F38=4017,G38,0)+IF($F38=4117,G38,0)+IF($F38=4127,G38,0)+IF($F38=4019,G38,0)+IF($F38=4119,G38,0)+IF($F38=4129,G38,0)+IF($F38=4040,G38,0)+IF($F38=4047,G38,0)+IF($F38=4049,G38,0)</f>
        <v>0</v>
      </c>
      <c r="M38" s="195">
        <f>IF($F38=4170,H38,0)+IF($F38=4177,H38,0)+IF($F38=4179,H38,0)+IF($F38=4010,H38,0)+IF($F38=4110,H38,0)+IF($F38=4120,H38,0)+IF($F38=4017,H38,0)+IF($F38=4117,H38,0)+IF($F38=4127,H38,0)+IF($F38=4019,H38,0)+IF($F38=4119,H38,0)+IF($F38=4129,H38,0)+IF($F38=4040,H38,0)+IF($F38=4047,H38,0)+IF($F38=4049,H38,0)</f>
        <v>0</v>
      </c>
      <c r="N38" s="195">
        <f>IF($B38=75022,G38,0)+IF($B38=75023,G38,0)</f>
        <v>0</v>
      </c>
      <c r="O38" s="195">
        <f>IF($B38=75022,H38,0)+IF($B38=75023,H38,0)</f>
        <v>0</v>
      </c>
    </row>
    <row r="39" spans="1:15" ht="12.75">
      <c r="A39" s="190"/>
      <c r="B39" s="191"/>
      <c r="C39" s="191"/>
      <c r="D39" s="192"/>
      <c r="E39" s="192"/>
      <c r="F39" s="193"/>
      <c r="G39" s="192"/>
      <c r="H39" s="192"/>
      <c r="I39" s="194"/>
      <c r="L39" s="195">
        <f>IF($F39=4170,G39,0)+IF($F39=4177,G39,0)+IF($F39=4179,G39,0)+IF($F39=4010,G39,0)+IF($F39=4110,G39,0)+IF($F39=4120,G39,0)+IF($F39=4017,G39,0)+IF($F39=4117,G39,0)+IF($F39=4127,G39,0)+IF($F39=4019,G39,0)+IF($F39=4119,G39,0)+IF($F39=4129,G39,0)+IF($F39=4040,G39,0)+IF($F39=4047,G39,0)+IF($F39=4049,G39,0)</f>
        <v>0</v>
      </c>
      <c r="M39" s="195">
        <f>IF($F39=4170,H39,0)+IF($F39=4177,H39,0)+IF($F39=4179,H39,0)+IF($F39=4010,H39,0)+IF($F39=4110,H39,0)+IF($F39=4120,H39,0)+IF($F39=4017,H39,0)+IF($F39=4117,H39,0)+IF($F39=4127,H39,0)+IF($F39=4019,H39,0)+IF($F39=4119,H39,0)+IF($F39=4129,H39,0)+IF($F39=4040,H39,0)+IF($F39=4047,H39,0)+IF($F39=4049,H39,0)</f>
        <v>0</v>
      </c>
      <c r="N39" s="195">
        <f>IF($B39=75022,G39,0)+IF($B39=75023,G39,0)</f>
        <v>0</v>
      </c>
      <c r="O39" s="195">
        <f>IF($B39=75022,H39,0)+IF($B39=75023,H39,0)</f>
        <v>0</v>
      </c>
    </row>
    <row r="40" spans="1:15" ht="12.75" customHeight="1">
      <c r="A40" s="190"/>
      <c r="B40" s="198"/>
      <c r="C40" s="199"/>
      <c r="D40" s="200"/>
      <c r="E40" s="200"/>
      <c r="F40" s="201"/>
      <c r="G40" s="200"/>
      <c r="H40" s="200"/>
      <c r="I40" s="194"/>
      <c r="L40" s="195">
        <f>IF($F40=4170,G40,0)+IF($F40=4177,G40,0)+IF($F40=4179,G40,0)+IF($F40=4010,G40,0)+IF($F40=4110,G40,0)+IF($F40=4120,G40,0)+IF($F40=4017,G40,0)+IF($F40=4117,G40,0)+IF($F40=4127,G40,0)+IF($F40=4019,G40,0)+IF($F40=4119,G40,0)+IF($F40=4129,G40,0)+IF($F40=4040,G40,0)+IF($F40=4047,G40,0)+IF($F40=4049,G40,0)</f>
        <v>0</v>
      </c>
      <c r="M40" s="195">
        <f>IF($F40=4170,H40,0)+IF($F40=4177,H40,0)+IF($F40=4179,H40,0)+IF($F40=4010,H40,0)+IF($F40=4110,H40,0)+IF($F40=4120,H40,0)+IF($F40=4017,H40,0)+IF($F40=4117,H40,0)+IF($F40=4127,H40,0)+IF($F40=4019,H40,0)+IF($F40=4119,H40,0)+IF($F40=4129,H40,0)+IF($F40=4040,H40,0)+IF($F40=4047,H40,0)+IF($F40=4049,H40,0)</f>
        <v>0</v>
      </c>
      <c r="N40" s="195">
        <f>IF($B40=75022,G40,0)+IF($B40=75023,G40,0)</f>
        <v>0</v>
      </c>
      <c r="O40" s="195">
        <f>IF($B40=75022,H40,0)+IF($B40=75023,H40,0)</f>
        <v>0</v>
      </c>
    </row>
    <row r="41" spans="1:8" ht="15">
      <c r="A41" s="202" t="s">
        <v>274</v>
      </c>
      <c r="B41" s="203"/>
      <c r="C41" s="203"/>
      <c r="D41" s="204">
        <f>SUM(D4:D40)</f>
        <v>0</v>
      </c>
      <c r="E41" s="204">
        <f>SUM(E4:E40)</f>
        <v>51781</v>
      </c>
      <c r="F41" s="205"/>
      <c r="G41" s="204">
        <f>SUM(G4:G40)</f>
        <v>113504</v>
      </c>
      <c r="H41" s="204">
        <f>SUM(H4:H40)</f>
        <v>165285</v>
      </c>
    </row>
    <row r="42" spans="1:8" ht="15" customHeight="1">
      <c r="A42" s="206" t="s">
        <v>275</v>
      </c>
      <c r="B42" s="206" t="s">
        <v>276</v>
      </c>
      <c r="C42" s="207"/>
      <c r="D42" s="208">
        <f>SUM(E41-D41)</f>
        <v>51781</v>
      </c>
      <c r="E42" s="208"/>
      <c r="F42" s="207"/>
      <c r="G42" s="208">
        <f>SUM(H41-G41)</f>
        <v>51781</v>
      </c>
      <c r="H42" s="208"/>
    </row>
    <row r="43" spans="1:8" ht="15">
      <c r="A43" s="206"/>
      <c r="B43" s="206"/>
      <c r="C43" s="207"/>
      <c r="D43" s="208"/>
      <c r="E43" s="208"/>
      <c r="F43" s="207"/>
      <c r="G43" s="208"/>
      <c r="H43" s="208"/>
    </row>
    <row r="44" spans="1:4" ht="15">
      <c r="A44" s="209" t="s">
        <v>277</v>
      </c>
      <c r="B44" s="209"/>
      <c r="C44" s="209"/>
      <c r="D44" s="210">
        <f>SUM(G42-D42)</f>
        <v>0</v>
      </c>
    </row>
    <row r="45" spans="2:15" ht="15" customHeight="1">
      <c r="B45" s="211" t="s">
        <v>278</v>
      </c>
      <c r="C45" s="211"/>
      <c r="D45" s="211"/>
      <c r="E45" s="212" t="s">
        <v>279</v>
      </c>
      <c r="F45" s="212"/>
      <c r="G45" s="213">
        <f>L45</f>
        <v>0</v>
      </c>
      <c r="H45" s="214">
        <f>M45</f>
        <v>0</v>
      </c>
      <c r="L45" s="215">
        <f>SUM(L4:L40)</f>
        <v>0</v>
      </c>
      <c r="M45" s="215">
        <f>SUM(M4:M40)</f>
        <v>0</v>
      </c>
      <c r="N45" s="215">
        <f>SUM(N4:N40)</f>
        <v>0</v>
      </c>
      <c r="O45" s="215">
        <f>SUM(O4:O40)</f>
        <v>0</v>
      </c>
    </row>
    <row r="46" spans="2:8" ht="15" customHeight="1">
      <c r="B46" s="193" t="s">
        <v>280</v>
      </c>
      <c r="C46" s="193"/>
      <c r="D46" s="216" t="str">
        <f>C55</f>
        <v>√</v>
      </c>
      <c r="E46" s="217" t="s">
        <v>281</v>
      </c>
      <c r="F46" s="217"/>
      <c r="G46" s="218">
        <f>SUM(H45-G45)</f>
        <v>0</v>
      </c>
      <c r="H46" s="218"/>
    </row>
    <row r="47" spans="2:6" ht="12.75" customHeight="1">
      <c r="B47" s="193" t="s">
        <v>282</v>
      </c>
      <c r="C47" s="193"/>
      <c r="D47" s="219" t="str">
        <f>C55</f>
        <v>√</v>
      </c>
      <c r="E47" s="220" t="s">
        <v>283</v>
      </c>
      <c r="F47" s="220"/>
    </row>
    <row r="48" spans="2:8" ht="14.25" customHeight="1">
      <c r="B48" s="221" t="s">
        <v>284</v>
      </c>
      <c r="C48" s="221"/>
      <c r="D48" s="222"/>
      <c r="E48" s="212" t="s">
        <v>285</v>
      </c>
      <c r="F48" s="212"/>
      <c r="G48" s="213">
        <f>N45</f>
        <v>0</v>
      </c>
      <c r="H48" s="213">
        <f>O45</f>
        <v>0</v>
      </c>
    </row>
    <row r="49" spans="2:8" ht="12.75" customHeight="1">
      <c r="B49" s="221" t="s">
        <v>286</v>
      </c>
      <c r="C49" s="221"/>
      <c r="D49" s="222"/>
      <c r="E49" s="217" t="s">
        <v>281</v>
      </c>
      <c r="F49" s="217"/>
      <c r="G49" s="218">
        <f>SUM(H48-G48)</f>
        <v>0</v>
      </c>
      <c r="H49" s="218"/>
    </row>
    <row r="50" spans="2:8" ht="14.25" customHeight="1">
      <c r="B50" s="221" t="s">
        <v>287</v>
      </c>
      <c r="C50" s="221"/>
      <c r="D50" s="222"/>
      <c r="E50" s="223" t="s">
        <v>288</v>
      </c>
      <c r="F50" s="223"/>
      <c r="G50" s="138"/>
      <c r="H50" s="138"/>
    </row>
    <row r="51" spans="2:8" ht="14.25" customHeight="1">
      <c r="B51" s="221" t="s">
        <v>289</v>
      </c>
      <c r="C51" s="221"/>
      <c r="D51" s="222" t="str">
        <f>C55</f>
        <v>√</v>
      </c>
      <c r="E51" s="223"/>
      <c r="F51" s="223"/>
      <c r="G51" s="138"/>
      <c r="H51" s="138"/>
    </row>
    <row r="52" spans="2:8" ht="13.5" customHeight="1">
      <c r="B52" s="221" t="s">
        <v>290</v>
      </c>
      <c r="C52" s="221"/>
      <c r="D52" s="222"/>
      <c r="E52" s="223"/>
      <c r="F52" s="223"/>
      <c r="G52" s="138"/>
      <c r="H52" s="138"/>
    </row>
    <row r="53" spans="2:8" ht="13.5" customHeight="1">
      <c r="B53" s="221" t="s">
        <v>291</v>
      </c>
      <c r="C53" s="221"/>
      <c r="D53" s="222"/>
      <c r="E53" s="223"/>
      <c r="F53" s="223"/>
      <c r="G53" s="138"/>
      <c r="H53" s="138"/>
    </row>
    <row r="54" spans="2:5" ht="12.75" customHeight="1">
      <c r="B54" s="221"/>
      <c r="C54" s="221"/>
      <c r="D54" s="221"/>
      <c r="E54" t="s">
        <v>292</v>
      </c>
    </row>
    <row r="55" spans="3:8" ht="12.75" customHeight="1">
      <c r="C55" s="224" t="s">
        <v>293</v>
      </c>
      <c r="D55" s="225" t="s">
        <v>294</v>
      </c>
      <c r="E55" s="225"/>
      <c r="G55" s="225" t="s">
        <v>295</v>
      </c>
      <c r="H55" s="225"/>
    </row>
    <row r="56" spans="4:8" ht="12.75">
      <c r="D56" s="226">
        <v>0</v>
      </c>
      <c r="E56" s="226">
        <v>0</v>
      </c>
      <c r="G56" s="226">
        <v>0</v>
      </c>
      <c r="H56" s="226">
        <v>0</v>
      </c>
    </row>
    <row r="57" spans="1:8" ht="24.75" customHeight="1">
      <c r="A57" s="227" t="s">
        <v>296</v>
      </c>
      <c r="B57" s="227"/>
      <c r="C57" s="227"/>
      <c r="D57" s="228">
        <f>SUM(E56-D56)</f>
        <v>0</v>
      </c>
      <c r="E57" s="228"/>
      <c r="F57" s="229"/>
      <c r="G57" s="228">
        <f>SUM(H56-G56)</f>
        <v>0</v>
      </c>
      <c r="H57" s="228"/>
    </row>
    <row r="59" spans="4:8" ht="12.75" customHeight="1">
      <c r="D59" s="225" t="s">
        <v>297</v>
      </c>
      <c r="E59" s="225"/>
      <c r="G59" s="225" t="s">
        <v>298</v>
      </c>
      <c r="H59" s="225"/>
    </row>
    <row r="60" spans="4:8" ht="12.75">
      <c r="D60" s="230">
        <f>SUM(D41-D56)</f>
        <v>0</v>
      </c>
      <c r="E60" s="230">
        <f>SUM(E41-E56)</f>
        <v>51781</v>
      </c>
      <c r="G60" s="230">
        <f>SUM(G41-G56)</f>
        <v>113504</v>
      </c>
      <c r="H60" s="230">
        <f>SUM(H41-H56)</f>
        <v>165285</v>
      </c>
    </row>
    <row r="61" spans="1:8" ht="24.75" customHeight="1">
      <c r="A61" s="227" t="s">
        <v>296</v>
      </c>
      <c r="B61" s="227"/>
      <c r="C61" s="227"/>
      <c r="D61" s="228">
        <f>SUM(E60-D60)</f>
        <v>51781</v>
      </c>
      <c r="E61" s="228"/>
      <c r="F61" s="229"/>
      <c r="G61" s="228">
        <f>SUM(H60-G60)</f>
        <v>51781</v>
      </c>
      <c r="H61" s="228"/>
    </row>
    <row r="63" spans="2:8" ht="12.75" customHeight="1">
      <c r="B63" s="231" t="s">
        <v>299</v>
      </c>
      <c r="C63" s="231"/>
      <c r="D63" s="232">
        <f>SUM(D57+D61)</f>
        <v>51781</v>
      </c>
      <c r="E63" s="232"/>
      <c r="F63" s="138"/>
      <c r="G63" s="232">
        <f>SUM(G57+G61)</f>
        <v>51781</v>
      </c>
      <c r="H63" s="232"/>
    </row>
    <row r="64" ht="12.75">
      <c r="F64" s="195"/>
    </row>
    <row r="65" spans="1:8" ht="24.75" customHeight="1">
      <c r="A65" s="233" t="s">
        <v>300</v>
      </c>
      <c r="B65" s="233"/>
      <c r="C65" s="233"/>
      <c r="D65" s="234">
        <f>ABS(D57+D61)</f>
        <v>51781</v>
      </c>
      <c r="E65" s="234"/>
      <c r="F65" s="138"/>
      <c r="G65" s="234">
        <f>ABS(G57+G61)</f>
        <v>51781</v>
      </c>
      <c r="H65" s="234"/>
    </row>
    <row r="73" ht="12.75">
      <c r="B73" s="235"/>
    </row>
  </sheetData>
  <sheetProtection selectLockedCells="1" selectUnlockedCells="1"/>
  <mergeCells count="42">
    <mergeCell ref="A1:H1"/>
    <mergeCell ref="C2:E2"/>
    <mergeCell ref="F2:H2"/>
    <mergeCell ref="L3:M3"/>
    <mergeCell ref="N3:O3"/>
    <mergeCell ref="D42:E42"/>
    <mergeCell ref="G42:H42"/>
    <mergeCell ref="A44:C44"/>
    <mergeCell ref="B45:D45"/>
    <mergeCell ref="E45:F45"/>
    <mergeCell ref="B46:C46"/>
    <mergeCell ref="E46:F46"/>
    <mergeCell ref="G46:H46"/>
    <mergeCell ref="B47:C47"/>
    <mergeCell ref="E47:F47"/>
    <mergeCell ref="B48:C48"/>
    <mergeCell ref="E48:F48"/>
    <mergeCell ref="B49:C49"/>
    <mergeCell ref="E49:F49"/>
    <mergeCell ref="G49:H49"/>
    <mergeCell ref="B50:C50"/>
    <mergeCell ref="E50:F50"/>
    <mergeCell ref="B51:C51"/>
    <mergeCell ref="B52:C52"/>
    <mergeCell ref="B53:C53"/>
    <mergeCell ref="B54:D54"/>
    <mergeCell ref="D55:E55"/>
    <mergeCell ref="G55:H55"/>
    <mergeCell ref="A57:C57"/>
    <mergeCell ref="D57:E57"/>
    <mergeCell ref="G57:H57"/>
    <mergeCell ref="D59:E59"/>
    <mergeCell ref="G59:H59"/>
    <mergeCell ref="A61:C61"/>
    <mergeCell ref="D61:E61"/>
    <mergeCell ref="G61:H61"/>
    <mergeCell ref="B63:C63"/>
    <mergeCell ref="D63:E63"/>
    <mergeCell ref="G63:H63"/>
    <mergeCell ref="A65:C65"/>
    <mergeCell ref="D65:E65"/>
    <mergeCell ref="G65:H65"/>
  </mergeCells>
  <printOptions/>
  <pageMargins left="0.39375" right="0.2361111111111111" top="0.2361111111111111" bottom="0.2361111111111111" header="0.5118055555555555" footer="0.5118055555555555"/>
  <pageSetup horizontalDpi="300" verticalDpi="3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42"/>
  <sheetViews>
    <sheetView workbookViewId="0" topLeftCell="A1">
      <selection activeCell="E33" sqref="E33"/>
    </sheetView>
  </sheetViews>
  <sheetFormatPr defaultColWidth="12.57421875" defaultRowHeight="12.75"/>
  <cols>
    <col min="1" max="1" width="5.00390625" style="0" customWidth="1"/>
    <col min="2" max="2" width="41.8515625" style="0" customWidth="1"/>
    <col min="3" max="12" width="14.140625" style="0" customWidth="1"/>
    <col min="13" max="20" width="13.00390625" style="0" customWidth="1"/>
    <col min="21" max="24" width="15.140625" style="0" customWidth="1"/>
    <col min="25" max="16384" width="11.57421875" style="0" customWidth="1"/>
  </cols>
  <sheetData>
    <row r="1" spans="1:24" ht="17.25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7"/>
      <c r="W1" s="237" t="s">
        <v>301</v>
      </c>
      <c r="X1" s="237"/>
    </row>
    <row r="2" spans="1:24" ht="27.75" customHeight="1">
      <c r="A2" s="236" t="s">
        <v>302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7"/>
      <c r="W2" s="237"/>
      <c r="X2" s="237"/>
    </row>
    <row r="3" spans="1:24" ht="12.75">
      <c r="A3" s="238"/>
      <c r="B3" s="239"/>
      <c r="C3" s="239"/>
      <c r="D3" s="239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 t="s">
        <v>303</v>
      </c>
    </row>
    <row r="4" spans="1:24" ht="15.75" customHeight="1">
      <c r="A4" s="241" t="s">
        <v>304</v>
      </c>
      <c r="B4" s="242" t="s">
        <v>305</v>
      </c>
      <c r="C4" s="243" t="s">
        <v>306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</row>
    <row r="5" spans="1:24" ht="15.75" customHeight="1">
      <c r="A5" s="241"/>
      <c r="B5" s="242"/>
      <c r="C5" s="242"/>
      <c r="D5" s="242">
        <v>2012</v>
      </c>
      <c r="E5" s="242">
        <v>2013</v>
      </c>
      <c r="F5" s="242">
        <v>2014</v>
      </c>
      <c r="G5" s="242">
        <v>2015</v>
      </c>
      <c r="H5" s="242">
        <v>2016</v>
      </c>
      <c r="I5" s="242">
        <v>2017</v>
      </c>
      <c r="J5" s="242">
        <v>2018</v>
      </c>
      <c r="K5" s="242">
        <v>2019</v>
      </c>
      <c r="L5" s="242">
        <v>2020</v>
      </c>
      <c r="M5" s="242">
        <v>2021</v>
      </c>
      <c r="N5" s="242">
        <v>2022</v>
      </c>
      <c r="O5" s="242">
        <v>2023</v>
      </c>
      <c r="P5" s="242">
        <v>2024</v>
      </c>
      <c r="Q5" s="242">
        <v>2025</v>
      </c>
      <c r="R5" s="242">
        <v>2026</v>
      </c>
      <c r="S5" s="242">
        <v>2027</v>
      </c>
      <c r="T5" s="242">
        <v>2028</v>
      </c>
      <c r="U5" s="242">
        <v>2029</v>
      </c>
      <c r="V5" s="242">
        <v>2030</v>
      </c>
      <c r="W5" s="242">
        <v>2031</v>
      </c>
      <c r="X5" s="242">
        <v>2032</v>
      </c>
    </row>
    <row r="6" spans="1:24" ht="15.75" customHeight="1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</row>
    <row r="7" spans="1:24" ht="15.75" customHeight="1">
      <c r="A7" s="241"/>
      <c r="B7" s="242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</row>
    <row r="8" spans="1:24" ht="15.75" customHeight="1">
      <c r="A8" s="241"/>
      <c r="B8" s="242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</row>
    <row r="9" spans="1:24" ht="7.5" customHeight="1">
      <c r="A9" s="244">
        <v>1</v>
      </c>
      <c r="B9" s="244">
        <v>2</v>
      </c>
      <c r="C9" s="244">
        <v>3</v>
      </c>
      <c r="D9" s="244">
        <v>5</v>
      </c>
      <c r="E9" s="244">
        <v>6</v>
      </c>
      <c r="F9" s="244">
        <v>6</v>
      </c>
      <c r="G9" s="244">
        <v>6</v>
      </c>
      <c r="H9" s="244">
        <v>6</v>
      </c>
      <c r="I9" s="244">
        <v>6</v>
      </c>
      <c r="J9" s="244">
        <v>6</v>
      </c>
      <c r="K9" s="244">
        <v>6</v>
      </c>
      <c r="L9" s="244">
        <v>6</v>
      </c>
      <c r="M9" s="244">
        <v>6</v>
      </c>
      <c r="N9" s="244">
        <v>6</v>
      </c>
      <c r="O9" s="244">
        <v>6</v>
      </c>
      <c r="P9" s="244">
        <v>6</v>
      </c>
      <c r="Q9" s="244">
        <v>6</v>
      </c>
      <c r="R9" s="244">
        <v>6</v>
      </c>
      <c r="S9" s="244">
        <v>6</v>
      </c>
      <c r="T9" s="244">
        <v>6</v>
      </c>
      <c r="U9" s="244">
        <v>6</v>
      </c>
      <c r="V9" s="244">
        <v>6</v>
      </c>
      <c r="W9" s="244">
        <v>6</v>
      </c>
      <c r="X9" s="244">
        <v>6</v>
      </c>
    </row>
    <row r="10" spans="1:24" ht="19.5" customHeight="1">
      <c r="A10" s="245" t="s">
        <v>307</v>
      </c>
      <c r="B10" s="246" t="s">
        <v>308</v>
      </c>
      <c r="C10" s="247">
        <v>0</v>
      </c>
      <c r="D10" s="247">
        <v>0</v>
      </c>
      <c r="E10" s="247">
        <v>0</v>
      </c>
      <c r="F10" s="247">
        <v>0</v>
      </c>
      <c r="G10" s="247">
        <v>0</v>
      </c>
      <c r="H10" s="247">
        <v>0</v>
      </c>
      <c r="I10" s="247">
        <v>0</v>
      </c>
      <c r="J10" s="247">
        <v>0</v>
      </c>
      <c r="K10" s="247">
        <v>0</v>
      </c>
      <c r="L10" s="247">
        <v>0</v>
      </c>
      <c r="M10" s="247">
        <v>0</v>
      </c>
      <c r="N10" s="247">
        <v>0</v>
      </c>
      <c r="O10" s="247">
        <v>0</v>
      </c>
      <c r="P10" s="247">
        <v>0</v>
      </c>
      <c r="Q10" s="247">
        <v>0</v>
      </c>
      <c r="R10" s="247">
        <v>0</v>
      </c>
      <c r="S10" s="247">
        <v>0</v>
      </c>
      <c r="T10" s="247">
        <v>0</v>
      </c>
      <c r="U10" s="247">
        <v>0</v>
      </c>
      <c r="V10" s="247">
        <v>0</v>
      </c>
      <c r="W10" s="247">
        <v>0</v>
      </c>
      <c r="X10" s="247">
        <v>0</v>
      </c>
    </row>
    <row r="11" spans="1:24" ht="19.5" customHeight="1">
      <c r="A11" s="245" t="s">
        <v>309</v>
      </c>
      <c r="B11" s="248" t="s">
        <v>310</v>
      </c>
      <c r="C11" s="249">
        <f>zał2!E46</f>
        <v>40534439.7</v>
      </c>
      <c r="D11" s="249">
        <f>zał2!F46</f>
        <v>41627126.7</v>
      </c>
      <c r="E11" s="249">
        <f>zał2!G46</f>
        <v>35772301.2655</v>
      </c>
      <c r="F11" s="249">
        <f>zał2!H46</f>
        <v>29917475.031000003</v>
      </c>
      <c r="G11" s="249">
        <f>zał2!I46</f>
        <v>26464512.796500005</v>
      </c>
      <c r="H11" s="249">
        <f>zał2!J46</f>
        <v>23011550.562000006</v>
      </c>
      <c r="I11" s="249">
        <f>zał2!K46</f>
        <v>19558588.327500008</v>
      </c>
      <c r="J11" s="249">
        <f>zał2!L46</f>
        <v>16105626.093000008</v>
      </c>
      <c r="K11" s="249">
        <f>zał2!M46</f>
        <v>12652654.858500008</v>
      </c>
      <c r="L11" s="249">
        <f>zał2!N46</f>
        <v>10214636.734000009</v>
      </c>
      <c r="M11" s="249">
        <f>zał2!O46</f>
        <v>9324097.339500008</v>
      </c>
      <c r="N11" s="249">
        <f>zał2!P46</f>
        <v>8433557.945000008</v>
      </c>
      <c r="O11" s="249">
        <f>zał2!Q46</f>
        <v>7543018.550500007</v>
      </c>
      <c r="P11" s="249">
        <f>zał2!R46</f>
        <v>6652479.156000007</v>
      </c>
      <c r="Q11" s="249">
        <f>zał2!S46</f>
        <v>5761939.761500007</v>
      </c>
      <c r="R11" s="249">
        <f>zał2!T46</f>
        <v>4871400.367000006</v>
      </c>
      <c r="S11" s="249">
        <f>zał2!U46</f>
        <v>3980860.972500006</v>
      </c>
      <c r="T11" s="249">
        <f>zał2!V46</f>
        <v>3090321.5780000063</v>
      </c>
      <c r="U11" s="249">
        <f>zał2!W46</f>
        <v>2199782.1835000063</v>
      </c>
      <c r="V11" s="249">
        <f>zał2!X46</f>
        <v>1309242.7890000064</v>
      </c>
      <c r="W11" s="249">
        <f>zał2!Y46</f>
        <v>418691.39450000634</v>
      </c>
      <c r="X11" s="249">
        <f>zał2!Z46</f>
        <v>0</v>
      </c>
    </row>
    <row r="12" spans="1:24" ht="19.5" customHeight="1">
      <c r="A12" s="245" t="s">
        <v>311</v>
      </c>
      <c r="B12" s="248" t="s">
        <v>312</v>
      </c>
      <c r="C12" s="247">
        <v>0</v>
      </c>
      <c r="D12" s="247">
        <v>0</v>
      </c>
      <c r="E12" s="247">
        <v>0</v>
      </c>
      <c r="F12" s="247">
        <v>0</v>
      </c>
      <c r="G12" s="247">
        <v>0</v>
      </c>
      <c r="H12" s="247">
        <v>0</v>
      </c>
      <c r="I12" s="247">
        <v>0</v>
      </c>
      <c r="J12" s="247">
        <v>0</v>
      </c>
      <c r="K12" s="247">
        <v>0</v>
      </c>
      <c r="L12" s="247">
        <v>0</v>
      </c>
      <c r="M12" s="247">
        <v>0</v>
      </c>
      <c r="N12" s="247">
        <v>0</v>
      </c>
      <c r="O12" s="247">
        <v>0</v>
      </c>
      <c r="P12" s="247">
        <v>0</v>
      </c>
      <c r="Q12" s="247">
        <v>0</v>
      </c>
      <c r="R12" s="247">
        <v>0</v>
      </c>
      <c r="S12" s="247">
        <v>0</v>
      </c>
      <c r="T12" s="247">
        <v>0</v>
      </c>
      <c r="U12" s="247">
        <v>0</v>
      </c>
      <c r="V12" s="247">
        <v>0</v>
      </c>
      <c r="W12" s="247">
        <v>0</v>
      </c>
      <c r="X12" s="247">
        <v>0</v>
      </c>
    </row>
    <row r="13" spans="1:24" ht="19.5" customHeight="1">
      <c r="A13" s="245" t="s">
        <v>313</v>
      </c>
      <c r="B13" s="248" t="s">
        <v>314</v>
      </c>
      <c r="C13" s="247">
        <v>0</v>
      </c>
      <c r="D13" s="247">
        <v>0</v>
      </c>
      <c r="E13" s="247">
        <v>0</v>
      </c>
      <c r="F13" s="247">
        <v>0</v>
      </c>
      <c r="G13" s="247">
        <v>0</v>
      </c>
      <c r="H13" s="247">
        <v>0</v>
      </c>
      <c r="I13" s="247">
        <v>0</v>
      </c>
      <c r="J13" s="247">
        <v>0</v>
      </c>
      <c r="K13" s="247">
        <v>0</v>
      </c>
      <c r="L13" s="247">
        <v>0</v>
      </c>
      <c r="M13" s="247">
        <v>0</v>
      </c>
      <c r="N13" s="247">
        <v>0</v>
      </c>
      <c r="O13" s="247">
        <v>0</v>
      </c>
      <c r="P13" s="247">
        <v>0</v>
      </c>
      <c r="Q13" s="247">
        <v>0</v>
      </c>
      <c r="R13" s="247">
        <v>0</v>
      </c>
      <c r="S13" s="247">
        <v>0</v>
      </c>
      <c r="T13" s="247">
        <v>0</v>
      </c>
      <c r="U13" s="247">
        <v>0</v>
      </c>
      <c r="V13" s="247">
        <v>0</v>
      </c>
      <c r="W13" s="247">
        <v>0</v>
      </c>
      <c r="X13" s="247">
        <v>0</v>
      </c>
    </row>
    <row r="14" spans="1:24" ht="19.5" customHeight="1">
      <c r="A14" s="245" t="s">
        <v>315</v>
      </c>
      <c r="B14" s="248" t="s">
        <v>316</v>
      </c>
      <c r="C14" s="247">
        <v>0</v>
      </c>
      <c r="D14" s="247">
        <v>0</v>
      </c>
      <c r="E14" s="247">
        <v>0</v>
      </c>
      <c r="F14" s="247">
        <v>0</v>
      </c>
      <c r="G14" s="247">
        <v>0</v>
      </c>
      <c r="H14" s="247">
        <v>0</v>
      </c>
      <c r="I14" s="247">
        <v>0</v>
      </c>
      <c r="J14" s="247">
        <v>0</v>
      </c>
      <c r="K14" s="247">
        <v>0</v>
      </c>
      <c r="L14" s="247">
        <v>0</v>
      </c>
      <c r="M14" s="247">
        <v>0</v>
      </c>
      <c r="N14" s="247">
        <v>0</v>
      </c>
      <c r="O14" s="247">
        <v>0</v>
      </c>
      <c r="P14" s="247">
        <v>0</v>
      </c>
      <c r="Q14" s="247">
        <v>0</v>
      </c>
      <c r="R14" s="247">
        <v>0</v>
      </c>
      <c r="S14" s="247">
        <v>0</v>
      </c>
      <c r="T14" s="247">
        <v>0</v>
      </c>
      <c r="U14" s="247">
        <v>0</v>
      </c>
      <c r="V14" s="247">
        <v>0</v>
      </c>
      <c r="W14" s="247">
        <v>0</v>
      </c>
      <c r="X14" s="247">
        <v>0</v>
      </c>
    </row>
    <row r="15" spans="1:24" ht="19.5" customHeight="1">
      <c r="A15" s="245" t="s">
        <v>317</v>
      </c>
      <c r="B15" s="248" t="s">
        <v>318</v>
      </c>
      <c r="C15" s="247">
        <v>0</v>
      </c>
      <c r="D15" s="247">
        <v>0</v>
      </c>
      <c r="E15" s="247">
        <v>0</v>
      </c>
      <c r="F15" s="247">
        <v>0</v>
      </c>
      <c r="G15" s="247">
        <v>0</v>
      </c>
      <c r="H15" s="247">
        <v>0</v>
      </c>
      <c r="I15" s="247">
        <v>0</v>
      </c>
      <c r="J15" s="247">
        <v>0</v>
      </c>
      <c r="K15" s="247">
        <v>0</v>
      </c>
      <c r="L15" s="247">
        <v>0</v>
      </c>
      <c r="M15" s="247">
        <v>0</v>
      </c>
      <c r="N15" s="247">
        <v>0</v>
      </c>
      <c r="O15" s="247">
        <v>0</v>
      </c>
      <c r="P15" s="247">
        <v>0</v>
      </c>
      <c r="Q15" s="247">
        <v>0</v>
      </c>
      <c r="R15" s="247">
        <v>0</v>
      </c>
      <c r="S15" s="247">
        <v>0</v>
      </c>
      <c r="T15" s="247">
        <v>0</v>
      </c>
      <c r="U15" s="247">
        <v>0</v>
      </c>
      <c r="V15" s="247">
        <v>0</v>
      </c>
      <c r="W15" s="247">
        <v>0</v>
      </c>
      <c r="X15" s="247">
        <v>0</v>
      </c>
    </row>
    <row r="16" spans="1:24" ht="19.5" customHeight="1">
      <c r="A16" s="245" t="s">
        <v>319</v>
      </c>
      <c r="B16" s="248" t="s">
        <v>320</v>
      </c>
      <c r="C16" s="247">
        <v>0</v>
      </c>
      <c r="D16" s="247">
        <v>0</v>
      </c>
      <c r="E16" s="247">
        <v>0</v>
      </c>
      <c r="F16" s="247">
        <v>0</v>
      </c>
      <c r="G16" s="247">
        <v>0</v>
      </c>
      <c r="H16" s="247">
        <v>0</v>
      </c>
      <c r="I16" s="247">
        <v>0</v>
      </c>
      <c r="J16" s="247">
        <v>0</v>
      </c>
      <c r="K16" s="247">
        <v>0</v>
      </c>
      <c r="L16" s="247">
        <v>0</v>
      </c>
      <c r="M16" s="247">
        <v>0</v>
      </c>
      <c r="N16" s="247">
        <v>0</v>
      </c>
      <c r="O16" s="247">
        <v>0</v>
      </c>
      <c r="P16" s="247">
        <v>0</v>
      </c>
      <c r="Q16" s="247">
        <v>0</v>
      </c>
      <c r="R16" s="247">
        <v>0</v>
      </c>
      <c r="S16" s="247">
        <v>0</v>
      </c>
      <c r="T16" s="247">
        <v>0</v>
      </c>
      <c r="U16" s="247">
        <v>0</v>
      </c>
      <c r="V16" s="247">
        <v>0</v>
      </c>
      <c r="W16" s="247">
        <v>0</v>
      </c>
      <c r="X16" s="247">
        <v>0</v>
      </c>
    </row>
    <row r="17" spans="1:24" ht="19.5" customHeight="1">
      <c r="A17" s="245" t="s">
        <v>321</v>
      </c>
      <c r="B17" s="250" t="s">
        <v>322</v>
      </c>
      <c r="C17" s="247">
        <v>0</v>
      </c>
      <c r="D17" s="247">
        <v>0</v>
      </c>
      <c r="E17" s="247">
        <v>0</v>
      </c>
      <c r="F17" s="247">
        <v>0</v>
      </c>
      <c r="G17" s="247">
        <v>0</v>
      </c>
      <c r="H17" s="247">
        <v>0</v>
      </c>
      <c r="I17" s="247">
        <v>0</v>
      </c>
      <c r="J17" s="247">
        <v>0</v>
      </c>
      <c r="K17" s="247">
        <v>0</v>
      </c>
      <c r="L17" s="247">
        <v>0</v>
      </c>
      <c r="M17" s="247">
        <v>0</v>
      </c>
      <c r="N17" s="247">
        <v>0</v>
      </c>
      <c r="O17" s="247">
        <v>0</v>
      </c>
      <c r="P17" s="247">
        <v>0</v>
      </c>
      <c r="Q17" s="247">
        <v>0</v>
      </c>
      <c r="R17" s="247">
        <v>0</v>
      </c>
      <c r="S17" s="247">
        <v>0</v>
      </c>
      <c r="T17" s="247">
        <v>0</v>
      </c>
      <c r="U17" s="247">
        <v>0</v>
      </c>
      <c r="V17" s="247">
        <v>0</v>
      </c>
      <c r="W17" s="247">
        <v>0</v>
      </c>
      <c r="X17" s="247">
        <v>0</v>
      </c>
    </row>
    <row r="18" spans="1:24" ht="19.5" customHeight="1">
      <c r="A18" s="245" t="s">
        <v>323</v>
      </c>
      <c r="B18" s="250" t="s">
        <v>324</v>
      </c>
      <c r="C18" s="247">
        <v>0</v>
      </c>
      <c r="D18" s="247">
        <v>0</v>
      </c>
      <c r="E18" s="247">
        <v>0</v>
      </c>
      <c r="F18" s="247">
        <v>0</v>
      </c>
      <c r="G18" s="247">
        <v>0</v>
      </c>
      <c r="H18" s="247">
        <v>0</v>
      </c>
      <c r="I18" s="247">
        <v>0</v>
      </c>
      <c r="J18" s="247">
        <v>0</v>
      </c>
      <c r="K18" s="247">
        <v>0</v>
      </c>
      <c r="L18" s="247">
        <v>0</v>
      </c>
      <c r="M18" s="247">
        <v>0</v>
      </c>
      <c r="N18" s="247">
        <v>0</v>
      </c>
      <c r="O18" s="247">
        <v>0</v>
      </c>
      <c r="P18" s="247">
        <v>0</v>
      </c>
      <c r="Q18" s="247">
        <v>0</v>
      </c>
      <c r="R18" s="247">
        <v>0</v>
      </c>
      <c r="S18" s="247">
        <v>0</v>
      </c>
      <c r="T18" s="247">
        <v>0</v>
      </c>
      <c r="U18" s="247">
        <v>0</v>
      </c>
      <c r="V18" s="247">
        <v>0</v>
      </c>
      <c r="W18" s="247">
        <v>0</v>
      </c>
      <c r="X18" s="247">
        <v>0</v>
      </c>
    </row>
    <row r="19" spans="1:24" ht="19.5" customHeight="1">
      <c r="A19" s="245" t="s">
        <v>325</v>
      </c>
      <c r="B19" s="250" t="s">
        <v>326</v>
      </c>
      <c r="C19" s="247">
        <v>0</v>
      </c>
      <c r="D19" s="247">
        <v>0</v>
      </c>
      <c r="E19" s="247">
        <v>0</v>
      </c>
      <c r="F19" s="247">
        <v>0</v>
      </c>
      <c r="G19" s="247">
        <v>0</v>
      </c>
      <c r="H19" s="247">
        <v>0</v>
      </c>
      <c r="I19" s="247">
        <v>0</v>
      </c>
      <c r="J19" s="247">
        <v>0</v>
      </c>
      <c r="K19" s="247">
        <v>0</v>
      </c>
      <c r="L19" s="247">
        <v>0</v>
      </c>
      <c r="M19" s="247">
        <v>0</v>
      </c>
      <c r="N19" s="247">
        <v>0</v>
      </c>
      <c r="O19" s="247">
        <v>0</v>
      </c>
      <c r="P19" s="247">
        <v>0</v>
      </c>
      <c r="Q19" s="247">
        <v>0</v>
      </c>
      <c r="R19" s="247">
        <v>0</v>
      </c>
      <c r="S19" s="247">
        <v>0</v>
      </c>
      <c r="T19" s="247">
        <v>0</v>
      </c>
      <c r="U19" s="247">
        <v>0</v>
      </c>
      <c r="V19" s="247">
        <v>0</v>
      </c>
      <c r="W19" s="247">
        <v>0</v>
      </c>
      <c r="X19" s="247">
        <v>0</v>
      </c>
    </row>
    <row r="20" spans="1:24" ht="19.5" customHeight="1">
      <c r="A20" s="245" t="s">
        <v>327</v>
      </c>
      <c r="B20" s="250" t="s">
        <v>328</v>
      </c>
      <c r="C20" s="247">
        <v>0</v>
      </c>
      <c r="D20" s="247">
        <v>0</v>
      </c>
      <c r="E20" s="247">
        <v>0</v>
      </c>
      <c r="F20" s="247">
        <v>0</v>
      </c>
      <c r="G20" s="247">
        <v>0</v>
      </c>
      <c r="H20" s="247">
        <v>0</v>
      </c>
      <c r="I20" s="247">
        <v>0</v>
      </c>
      <c r="J20" s="247">
        <v>0</v>
      </c>
      <c r="K20" s="247">
        <v>0</v>
      </c>
      <c r="L20" s="247">
        <v>0</v>
      </c>
      <c r="M20" s="247">
        <v>0</v>
      </c>
      <c r="N20" s="247">
        <v>0</v>
      </c>
      <c r="O20" s="247">
        <v>0</v>
      </c>
      <c r="P20" s="247">
        <v>0</v>
      </c>
      <c r="Q20" s="247">
        <v>0</v>
      </c>
      <c r="R20" s="247">
        <v>0</v>
      </c>
      <c r="S20" s="247">
        <v>0</v>
      </c>
      <c r="T20" s="247">
        <v>0</v>
      </c>
      <c r="U20" s="247">
        <v>0</v>
      </c>
      <c r="V20" s="247">
        <v>0</v>
      </c>
      <c r="W20" s="247">
        <v>0</v>
      </c>
      <c r="X20" s="247">
        <v>0</v>
      </c>
    </row>
    <row r="21" spans="1:24" ht="19.5" customHeight="1">
      <c r="A21" s="245" t="s">
        <v>329</v>
      </c>
      <c r="B21" s="248" t="s">
        <v>330</v>
      </c>
      <c r="C21" s="249">
        <f>zał2!E8</f>
        <v>72674133.27</v>
      </c>
      <c r="D21" s="249">
        <f>zał2!F8</f>
        <v>89920637.13</v>
      </c>
      <c r="E21" s="249">
        <f>zał2!G8</f>
        <v>70107213.24003</v>
      </c>
      <c r="F21" s="249">
        <f>zał2!H8</f>
        <v>67528175.64647093</v>
      </c>
      <c r="G21" s="249">
        <f>zał2!I8</f>
        <v>69617908.40751153</v>
      </c>
      <c r="H21" s="249">
        <f>zał2!J8</f>
        <v>71772313.66362439</v>
      </c>
      <c r="I21" s="249">
        <f>zał2!K8</f>
        <v>73993392.98554115</v>
      </c>
      <c r="J21" s="249">
        <f>zał2!L8</f>
        <v>76283209.89438766</v>
      </c>
      <c r="K21" s="249">
        <f>zał2!M8</f>
        <v>78643891.77919726</v>
      </c>
      <c r="L21" s="249">
        <f>zał2!N8</f>
        <v>81077631.87377845</v>
      </c>
      <c r="M21" s="249">
        <f>zał2!O8</f>
        <v>83586691.29477446</v>
      </c>
      <c r="N21" s="249">
        <f>zał2!P8</f>
        <v>86173401.14280859</v>
      </c>
      <c r="O21" s="249">
        <f>zał2!Q8</f>
        <v>88840164.66866866</v>
      </c>
      <c r="P21" s="249">
        <f>zał2!R8</f>
        <v>91589459.50654338</v>
      </c>
      <c r="Q21" s="249">
        <f>zał2!S8</f>
        <v>94423839.97638662</v>
      </c>
      <c r="R21" s="249">
        <f>zał2!T8</f>
        <v>97345939.4575492</v>
      </c>
      <c r="S21" s="249">
        <f>zał2!U8</f>
        <v>100358472.83588466</v>
      </c>
      <c r="T21" s="249">
        <f>zał2!V8</f>
        <v>103464239.02660306</v>
      </c>
      <c r="U21" s="249">
        <f>zał2!W8</f>
        <v>106666123.5752179</v>
      </c>
      <c r="V21" s="249">
        <f>zał2!X8</f>
        <v>109967101.33900353</v>
      </c>
      <c r="W21" s="249">
        <f>zał2!Y8</f>
        <v>113370239.25145511</v>
      </c>
      <c r="X21" s="249">
        <f>zał2!Z8</f>
        <v>116878699.17232098</v>
      </c>
    </row>
    <row r="22" spans="1:24" ht="19.5" customHeight="1">
      <c r="A22" s="245" t="s">
        <v>331</v>
      </c>
      <c r="B22" s="246" t="s">
        <v>332</v>
      </c>
      <c r="C22" s="249">
        <f>SUM(C10:C14)</f>
        <v>40534439.7</v>
      </c>
      <c r="D22" s="249">
        <f>SUM(D10:D14)</f>
        <v>41627126.7</v>
      </c>
      <c r="E22" s="249">
        <f>SUM(E10:E14)</f>
        <v>35772301.2655</v>
      </c>
      <c r="F22" s="249">
        <f>SUM(F10:F14)</f>
        <v>29917475.031000003</v>
      </c>
      <c r="G22" s="249">
        <f>SUM(G10:G14)</f>
        <v>26464512.796500005</v>
      </c>
      <c r="H22" s="249">
        <f>SUM(H10:H14)</f>
        <v>23011550.562000006</v>
      </c>
      <c r="I22" s="249">
        <f>SUM(I10:I14)</f>
        <v>19558588.327500008</v>
      </c>
      <c r="J22" s="249">
        <f>SUM(J10:J14)</f>
        <v>16105626.093000008</v>
      </c>
      <c r="K22" s="249">
        <f>SUM(K10:K14)</f>
        <v>12652654.858500008</v>
      </c>
      <c r="L22" s="249">
        <f>SUM(L10:L14)</f>
        <v>10214636.734000009</v>
      </c>
      <c r="M22" s="249">
        <f>SUM(M10:M14)</f>
        <v>9324097.339500008</v>
      </c>
      <c r="N22" s="249">
        <f>SUM(N10:N14)</f>
        <v>8433557.945000008</v>
      </c>
      <c r="O22" s="249">
        <f>SUM(O10:O14)</f>
        <v>7543018.550500007</v>
      </c>
      <c r="P22" s="249">
        <f>SUM(P10:P14)</f>
        <v>6652479.156000007</v>
      </c>
      <c r="Q22" s="249">
        <f>SUM(Q10:Q14)</f>
        <v>5761939.761500007</v>
      </c>
      <c r="R22" s="249">
        <f>SUM(R10:R14)</f>
        <v>4871400.367000006</v>
      </c>
      <c r="S22" s="249">
        <f>SUM(S10:S14)</f>
        <v>3980860.972500006</v>
      </c>
      <c r="T22" s="249">
        <f>SUM(T10:T14)</f>
        <v>3090321.5780000063</v>
      </c>
      <c r="U22" s="249">
        <f>SUM(U10:U14)</f>
        <v>2199782.1835000063</v>
      </c>
      <c r="V22" s="249">
        <f>SUM(V10:V14)</f>
        <v>1309242.7890000064</v>
      </c>
      <c r="W22" s="249">
        <f>SUM(W10:W14)</f>
        <v>418691.39450000634</v>
      </c>
      <c r="X22" s="249">
        <f>SUM(X10:X14)</f>
        <v>0</v>
      </c>
    </row>
    <row r="23" spans="1:24" ht="19.5" customHeight="1">
      <c r="A23" s="245" t="s">
        <v>333</v>
      </c>
      <c r="B23" s="248" t="s">
        <v>334</v>
      </c>
      <c r="C23" s="251">
        <f>SUM(C22/C21)</f>
        <v>0.5577560801365992</v>
      </c>
      <c r="D23" s="251">
        <f>SUM(D22/D21)</f>
        <v>0.46293184777837887</v>
      </c>
      <c r="E23" s="251">
        <f>SUM(E22/E21)</f>
        <v>0.510251365191544</v>
      </c>
      <c r="F23" s="251">
        <f>SUM(F22/F21)</f>
        <v>0.4430369211753392</v>
      </c>
      <c r="G23" s="251">
        <f>SUM(G22/G21)</f>
        <v>0.3801394411562726</v>
      </c>
      <c r="H23" s="251">
        <f>SUM(H22/H21)</f>
        <v>0.3206187649160697</v>
      </c>
      <c r="I23" s="251">
        <f>SUM(I22/I21)</f>
        <v>0.2643288480002789</v>
      </c>
      <c r="J23" s="251">
        <f>SUM(J22/J21)</f>
        <v>0.21112937060852413</v>
      </c>
      <c r="K23" s="251">
        <f>SUM(K22/K21)</f>
        <v>0.1608854110885553</v>
      </c>
      <c r="L23" s="251">
        <f>SUM(L22/L21)</f>
        <v>0.12598587918677917</v>
      </c>
      <c r="M23" s="251">
        <f>SUM(M22/M21)</f>
        <v>0.1115500230367764</v>
      </c>
      <c r="N23" s="251">
        <f>SUM(N22/N21)</f>
        <v>0.09786729818199606</v>
      </c>
      <c r="O23" s="251">
        <f>SUM(O22/O21)</f>
        <v>0.08490549942846078</v>
      </c>
      <c r="P23" s="251">
        <f>SUM(P22/P21)</f>
        <v>0.07263367631866784</v>
      </c>
      <c r="Q23" s="251">
        <f>SUM(Q22/Q21)</f>
        <v>0.061022086826175936</v>
      </c>
      <c r="R23" s="251">
        <f>SUM(R22/R21)</f>
        <v>0.050042152699387485</v>
      </c>
      <c r="S23" s="251">
        <f>SUM(S22/S21)</f>
        <v>0.03966641639724703</v>
      </c>
      <c r="T23" s="251">
        <f>SUM(T22/T21)</f>
        <v>0.02986849956152882</v>
      </c>
      <c r="U23" s="251">
        <f>SUM(U22/U21)</f>
        <v>0.02062306297227332</v>
      </c>
      <c r="V23" s="251">
        <f>SUM(V22/V21)</f>
        <v>0.011905767934756313</v>
      </c>
      <c r="W23" s="251">
        <f>SUM(W22/W21)</f>
        <v>0.003693133200251515</v>
      </c>
      <c r="X23" s="251">
        <f>SUM(X22/X21)</f>
        <v>0</v>
      </c>
    </row>
    <row r="24" spans="1:24" ht="12.75">
      <c r="A24" s="252"/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</row>
    <row r="25" spans="1:24" ht="12.75">
      <c r="A25" s="252"/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</row>
    <row r="26" spans="1:24" ht="12.7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</row>
    <row r="27" spans="1:24" ht="12.75">
      <c r="A27" s="252"/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</row>
    <row r="28" spans="1:24" ht="12.75">
      <c r="A28" s="252"/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</row>
    <row r="29" spans="1:24" ht="12.75">
      <c r="A29" s="252"/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</row>
    <row r="30" spans="1:24" ht="12.75">
      <c r="A30" s="252"/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</row>
    <row r="36" spans="2:34" ht="12.75"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</row>
    <row r="37" spans="2:34" ht="12.75"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</row>
    <row r="38" spans="2:34" ht="12.75"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</row>
    <row r="39" spans="2:34" ht="12.75"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</row>
    <row r="40" spans="2:34" ht="12.75">
      <c r="B40" s="163"/>
      <c r="C40" s="25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</row>
    <row r="41" spans="2:34" ht="12.75">
      <c r="B41" s="163"/>
      <c r="C41" s="25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</row>
    <row r="42" spans="2:34" ht="12.75"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</row>
  </sheetData>
  <sheetProtection selectLockedCells="1" selectUnlockedCells="1"/>
  <mergeCells count="26">
    <mergeCell ref="W1:X2"/>
    <mergeCell ref="A2:E2"/>
    <mergeCell ref="A4:A8"/>
    <mergeCell ref="B4:B8"/>
    <mergeCell ref="C4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69"/>
  <sheetViews>
    <sheetView workbookViewId="0" topLeftCell="A4">
      <selection activeCell="E9" sqref="E9"/>
    </sheetView>
  </sheetViews>
  <sheetFormatPr defaultColWidth="12.57421875" defaultRowHeight="12.75"/>
  <cols>
    <col min="1" max="1" width="6.140625" style="252" customWidth="1"/>
    <col min="2" max="2" width="23.7109375" style="252" customWidth="1"/>
    <col min="3" max="3" width="12.140625" style="252" customWidth="1"/>
    <col min="4" max="5" width="12.7109375" style="252" customWidth="1"/>
    <col min="6" max="24" width="12.57421875" style="252" customWidth="1"/>
    <col min="25" max="254" width="11.57421875" style="252" customWidth="1"/>
    <col min="255" max="16384" width="11.57421875" style="0" customWidth="1"/>
  </cols>
  <sheetData>
    <row r="1" spans="1:24" ht="48" customHeight="1">
      <c r="A1" s="254"/>
      <c r="B1" s="254"/>
      <c r="C1" s="254"/>
      <c r="D1" s="254"/>
      <c r="E1" s="254"/>
      <c r="F1" s="254"/>
      <c r="G1" s="255"/>
      <c r="H1" s="255"/>
      <c r="I1" s="255"/>
      <c r="J1" s="255"/>
      <c r="K1"/>
      <c r="L1"/>
      <c r="M1" s="255"/>
      <c r="V1" s="256" t="s">
        <v>335</v>
      </c>
      <c r="W1" s="256"/>
      <c r="X1" s="256"/>
    </row>
    <row r="2" spans="1:24" ht="16.5" customHeight="1">
      <c r="A2" s="257"/>
      <c r="B2" s="257"/>
      <c r="C2" s="257"/>
      <c r="D2" s="257"/>
      <c r="E2" s="257"/>
      <c r="F2" s="258"/>
      <c r="G2" s="257"/>
      <c r="H2" s="257"/>
      <c r="I2" s="257"/>
      <c r="J2" s="257"/>
      <c r="K2" s="257"/>
      <c r="L2" s="257"/>
      <c r="M2"/>
      <c r="X2" s="259" t="s">
        <v>303</v>
      </c>
    </row>
    <row r="3" spans="1:24" ht="18.75" customHeight="1">
      <c r="A3" s="260" t="s">
        <v>304</v>
      </c>
      <c r="B3" s="260" t="s">
        <v>3</v>
      </c>
      <c r="C3" s="261" t="s">
        <v>306</v>
      </c>
      <c r="D3" s="260" t="s">
        <v>336</v>
      </c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</row>
    <row r="4" spans="1:24" ht="53.25" customHeight="1">
      <c r="A4" s="260"/>
      <c r="B4" s="260"/>
      <c r="C4" s="261"/>
      <c r="D4" s="260">
        <v>2012</v>
      </c>
      <c r="E4" s="260">
        <v>2013</v>
      </c>
      <c r="F4" s="260">
        <v>2014</v>
      </c>
      <c r="G4" s="260">
        <v>2015</v>
      </c>
      <c r="H4" s="260">
        <v>2016</v>
      </c>
      <c r="I4" s="260">
        <v>2017</v>
      </c>
      <c r="J4" s="260">
        <v>2018</v>
      </c>
      <c r="K4" s="260">
        <v>2019</v>
      </c>
      <c r="L4" s="260">
        <v>2020</v>
      </c>
      <c r="M4" s="260">
        <v>2021</v>
      </c>
      <c r="N4" s="260">
        <v>2022</v>
      </c>
      <c r="O4" s="260">
        <v>2023</v>
      </c>
      <c r="P4" s="260">
        <v>2024</v>
      </c>
      <c r="Q4" s="260">
        <v>2025</v>
      </c>
      <c r="R4" s="260">
        <v>2026</v>
      </c>
      <c r="S4" s="260">
        <v>2027</v>
      </c>
      <c r="T4" s="260">
        <v>2028</v>
      </c>
      <c r="U4" s="260">
        <v>2029</v>
      </c>
      <c r="V4" s="260">
        <v>2030</v>
      </c>
      <c r="W4" s="260">
        <v>2031</v>
      </c>
      <c r="X4" s="260">
        <v>2032</v>
      </c>
    </row>
    <row r="5" spans="1:24" ht="12.75">
      <c r="A5" s="244">
        <v>1</v>
      </c>
      <c r="B5" s="244">
        <v>2</v>
      </c>
      <c r="C5" s="244">
        <v>3</v>
      </c>
      <c r="D5" s="244">
        <v>5</v>
      </c>
      <c r="E5" s="244">
        <v>6</v>
      </c>
      <c r="F5" s="244">
        <v>7</v>
      </c>
      <c r="G5" s="244">
        <v>8</v>
      </c>
      <c r="H5" s="244">
        <v>9</v>
      </c>
      <c r="I5" s="244">
        <v>10</v>
      </c>
      <c r="J5" s="244">
        <v>11</v>
      </c>
      <c r="K5" s="244">
        <v>12</v>
      </c>
      <c r="L5" s="244">
        <v>13</v>
      </c>
      <c r="M5" s="244">
        <v>14</v>
      </c>
      <c r="N5" s="244">
        <v>15</v>
      </c>
      <c r="O5" s="244">
        <v>16</v>
      </c>
      <c r="P5" s="244">
        <v>17</v>
      </c>
      <c r="Q5" s="244">
        <v>18</v>
      </c>
      <c r="R5" s="244">
        <v>19</v>
      </c>
      <c r="S5" s="244">
        <v>20</v>
      </c>
      <c r="T5" s="244">
        <v>21</v>
      </c>
      <c r="U5" s="244">
        <v>22</v>
      </c>
      <c r="V5" s="244">
        <v>23</v>
      </c>
      <c r="W5" s="244">
        <v>24</v>
      </c>
      <c r="X5" s="244">
        <v>25</v>
      </c>
    </row>
    <row r="6" spans="1:24" ht="12.75">
      <c r="A6" s="262" t="s">
        <v>337</v>
      </c>
      <c r="B6" s="263" t="s">
        <v>338</v>
      </c>
      <c r="C6" s="264">
        <f>SUM(C7,C11,C12)</f>
        <v>72674133.27</v>
      </c>
      <c r="D6" s="265">
        <f>zał2!F8</f>
        <v>89920637.13</v>
      </c>
      <c r="E6" s="265">
        <f>zał2!G8</f>
        <v>70107213.24003</v>
      </c>
      <c r="F6" s="265">
        <f>zał2!H8</f>
        <v>67528175.64647093</v>
      </c>
      <c r="G6" s="265">
        <f>zał2!I8</f>
        <v>69617908.40751153</v>
      </c>
      <c r="H6" s="265">
        <f>zał2!J8</f>
        <v>71772313.66362439</v>
      </c>
      <c r="I6" s="265">
        <f>zał2!K8</f>
        <v>73993392.98554115</v>
      </c>
      <c r="J6" s="265">
        <f>zał2!L8</f>
        <v>76283209.89438766</v>
      </c>
      <c r="K6" s="265">
        <f>zał2!M8</f>
        <v>78643891.77919726</v>
      </c>
      <c r="L6" s="265">
        <f>zał2!N8</f>
        <v>81077631.87377845</v>
      </c>
      <c r="M6" s="265">
        <f>zał2!O8</f>
        <v>83586691.29477446</v>
      </c>
      <c r="N6" s="265">
        <f>zał2!P8</f>
        <v>86173401.14280859</v>
      </c>
      <c r="O6" s="265">
        <f>zał2!Q8</f>
        <v>88840164.66866866</v>
      </c>
      <c r="P6" s="265">
        <f>zał2!R8</f>
        <v>91589459.50654338</v>
      </c>
      <c r="Q6" s="265">
        <f>zał2!S8</f>
        <v>94423839.97638662</v>
      </c>
      <c r="R6" s="265">
        <f>zał2!T8</f>
        <v>97345939.4575492</v>
      </c>
      <c r="S6" s="265">
        <f>zał2!U8</f>
        <v>100358472.83588466</v>
      </c>
      <c r="T6" s="265">
        <f>zał2!V8</f>
        <v>103464239.02660306</v>
      </c>
      <c r="U6" s="265">
        <f>zał2!W8</f>
        <v>106666123.5752179</v>
      </c>
      <c r="V6" s="265">
        <f>zał2!X8</f>
        <v>109967101.33900353</v>
      </c>
      <c r="W6" s="265">
        <f>zał2!Y8</f>
        <v>113370239.25145511</v>
      </c>
      <c r="X6" s="265">
        <f>zał2!Z8</f>
        <v>116878699.17232098</v>
      </c>
    </row>
    <row r="7" spans="1:24" ht="12.75">
      <c r="A7" s="262" t="s">
        <v>339</v>
      </c>
      <c r="B7" s="248" t="s">
        <v>340</v>
      </c>
      <c r="C7" s="266">
        <v>30707330.28</v>
      </c>
      <c r="D7" s="267">
        <v>0</v>
      </c>
      <c r="E7" s="265">
        <f>SUM(D7+0.05*D7)</f>
        <v>0</v>
      </c>
      <c r="F7" s="265">
        <f>SUM(E7+0.05*E7)</f>
        <v>0</v>
      </c>
      <c r="G7" s="265">
        <f>SUM(F7+0.03*F7)</f>
        <v>0</v>
      </c>
      <c r="H7" s="265">
        <f>SUM(G7+0.03*G7)</f>
        <v>0</v>
      </c>
      <c r="I7" s="265">
        <f>SUM(H7+0.03*H7)</f>
        <v>0</v>
      </c>
      <c r="J7" s="265">
        <f>SUM(I7+0.03*I7)</f>
        <v>0</v>
      </c>
      <c r="K7" s="265">
        <f>SUM(J7+0.03*J7)</f>
        <v>0</v>
      </c>
      <c r="L7" s="265">
        <f>SUM(K7+0.03*K7)</f>
        <v>0</v>
      </c>
      <c r="M7" s="265">
        <f>SUM(L7+0.03*L7)</f>
        <v>0</v>
      </c>
      <c r="N7" s="265">
        <f>SUM(M7+0.03*M7)</f>
        <v>0</v>
      </c>
      <c r="O7" s="265">
        <f>SUM(N7+0.03*N7)</f>
        <v>0</v>
      </c>
      <c r="P7" s="265">
        <f>SUM(O7+0.03*O7)</f>
        <v>0</v>
      </c>
      <c r="Q7" s="265">
        <f>SUM(P7+0.03*P7)</f>
        <v>0</v>
      </c>
      <c r="R7" s="265">
        <f>SUM(Q7+0.03*Q7)</f>
        <v>0</v>
      </c>
      <c r="S7" s="265">
        <f>SUM(R7+0.03*R7)</f>
        <v>0</v>
      </c>
      <c r="T7" s="265">
        <f>SUM(S7+0.03*S7)</f>
        <v>0</v>
      </c>
      <c r="U7" s="265">
        <f>SUM(T7+0.03*T7)</f>
        <v>0</v>
      </c>
      <c r="V7" s="265">
        <f>SUM(U7+0.03*U7)</f>
        <v>0</v>
      </c>
      <c r="W7" s="265">
        <f>SUM(V7+0.03*V7)</f>
        <v>0</v>
      </c>
      <c r="X7" s="265">
        <f>SUM(W7+0.03*W7)</f>
        <v>0</v>
      </c>
    </row>
    <row r="8" spans="1:24" ht="19.5" customHeight="1">
      <c r="A8" s="262" t="s">
        <v>307</v>
      </c>
      <c r="B8" s="248" t="s">
        <v>341</v>
      </c>
      <c r="C8" s="249">
        <f>SUM(C7-C9-C10)</f>
        <v>17553272.48</v>
      </c>
      <c r="D8" s="268">
        <f>SUM(D7-D9-D10)</f>
        <v>0</v>
      </c>
      <c r="E8" s="269">
        <f>SUM(D8+0.03*D8)</f>
        <v>0</v>
      </c>
      <c r="F8" s="269">
        <f>SUM(E8+0.03*E8)</f>
        <v>0</v>
      </c>
      <c r="G8" s="269">
        <f>SUM(F8+0.03*F8)</f>
        <v>0</v>
      </c>
      <c r="H8" s="269">
        <f>SUM(G8+0.03*G8)</f>
        <v>0</v>
      </c>
      <c r="I8" s="269">
        <f>SUM(H8+0.03*H8)</f>
        <v>0</v>
      </c>
      <c r="J8" s="269">
        <f>SUM(I8+0.03*I8)</f>
        <v>0</v>
      </c>
      <c r="K8" s="269">
        <f>SUM(J8+0.03*J8)</f>
        <v>0</v>
      </c>
      <c r="L8" s="269">
        <f>SUM(K8+0.03*K8)</f>
        <v>0</v>
      </c>
      <c r="M8" s="269">
        <f>SUM(L8+0.03*L8)</f>
        <v>0</v>
      </c>
      <c r="N8" s="269">
        <f>SUM(M8+0.03*M8)</f>
        <v>0</v>
      </c>
      <c r="O8" s="269">
        <f>SUM(N8+0.03*N8)</f>
        <v>0</v>
      </c>
      <c r="P8" s="269">
        <f>SUM(O8+0.03*O8)</f>
        <v>0</v>
      </c>
      <c r="Q8" s="269">
        <f>SUM(P8+0.03*P8)</f>
        <v>0</v>
      </c>
      <c r="R8" s="269">
        <f>SUM(Q8+0.03*Q8)</f>
        <v>0</v>
      </c>
      <c r="S8" s="269">
        <f>SUM(R8+0.03*R8)</f>
        <v>0</v>
      </c>
      <c r="T8" s="269">
        <f>SUM(S8+0.03*S8)</f>
        <v>0</v>
      </c>
      <c r="U8" s="269">
        <f>SUM(T8+0.03*T8)</f>
        <v>0</v>
      </c>
      <c r="V8" s="269">
        <f>SUM(U8+0.03*U8)</f>
        <v>0</v>
      </c>
      <c r="W8" s="269">
        <f>SUM(V8+0.03*V8)</f>
        <v>0</v>
      </c>
      <c r="X8" s="269">
        <f>SUM(W8+0.03*W8)</f>
        <v>0</v>
      </c>
    </row>
    <row r="9" spans="1:24" ht="20.25" customHeight="1">
      <c r="A9" s="262" t="s">
        <v>309</v>
      </c>
      <c r="B9" s="248" t="s">
        <v>342</v>
      </c>
      <c r="C9" s="66">
        <v>6254896.34</v>
      </c>
      <c r="D9" s="267">
        <v>0</v>
      </c>
      <c r="E9" s="269">
        <f>zał2!G11+2140684</f>
        <v>8140684</v>
      </c>
      <c r="F9" s="269">
        <f>zał2!H11+2140684</f>
        <v>3640684</v>
      </c>
      <c r="G9" s="269">
        <f>zał2!I11+2140684</f>
        <v>3685684</v>
      </c>
      <c r="H9" s="269">
        <f>zał2!J11+2140684</f>
        <v>3732034</v>
      </c>
      <c r="I9" s="269">
        <f>zał2!K11+2140684</f>
        <v>3779774.5</v>
      </c>
      <c r="J9" s="269">
        <f>zał2!L11+2140684</f>
        <v>3828947.215</v>
      </c>
      <c r="K9" s="269">
        <f>zał2!M11+2140684</f>
        <v>3879595.11145</v>
      </c>
      <c r="L9" s="269">
        <f>zał2!N11+2140684</f>
        <v>3931762.4447935</v>
      </c>
      <c r="M9" s="269">
        <f>zał2!O11+2140684</f>
        <v>3985494.7981373053</v>
      </c>
      <c r="N9" s="269">
        <f>zał2!P11+2140684</f>
        <v>4040839.1220814246</v>
      </c>
      <c r="O9" s="269">
        <f>zał2!Q11+2140684</f>
        <v>4097843.7757438673</v>
      </c>
      <c r="P9" s="269">
        <f>zał2!R11+2140684</f>
        <v>4156558.5690161833</v>
      </c>
      <c r="Q9" s="269">
        <f>zał2!S11+2140684</f>
        <v>4217034.806086669</v>
      </c>
      <c r="R9" s="269">
        <f>zał2!T11+2140684</f>
        <v>4279325.330269269</v>
      </c>
      <c r="S9" s="269">
        <f>zał2!U11+2140684</f>
        <v>4343484.5701773465</v>
      </c>
      <c r="T9" s="269">
        <f>zał2!V11+2140684</f>
        <v>4409568.587282667</v>
      </c>
      <c r="U9" s="269">
        <f>zał2!W11+2140684</f>
        <v>4477635.124901148</v>
      </c>
      <c r="V9" s="269">
        <f>zał2!X11+2140684</f>
        <v>4547743.658648182</v>
      </c>
      <c r="W9" s="269">
        <f>zał2!Y11+2140684</f>
        <v>4619955.448407628</v>
      </c>
      <c r="X9" s="269">
        <f>zał2!Z11+2140684</f>
        <v>4694333.591859857</v>
      </c>
    </row>
    <row r="10" spans="1:24" ht="19.5" customHeight="1">
      <c r="A10" s="262" t="s">
        <v>311</v>
      </c>
      <c r="B10" s="248" t="s">
        <v>343</v>
      </c>
      <c r="C10" s="266">
        <v>6899161.46</v>
      </c>
      <c r="D10" s="267">
        <v>0</v>
      </c>
      <c r="E10" s="269">
        <f>SUM(D10+0.04*D10)</f>
        <v>0</v>
      </c>
      <c r="F10" s="269">
        <f>SUM(E10+0.04*E10)</f>
        <v>0</v>
      </c>
      <c r="G10" s="269">
        <f>SUM(F10+0.04*F10)</f>
        <v>0</v>
      </c>
      <c r="H10" s="269">
        <f>SUM(G10+0.04*G10)</f>
        <v>0</v>
      </c>
      <c r="I10" s="269">
        <f>SUM(H10+0.04*H10)</f>
        <v>0</v>
      </c>
      <c r="J10" s="269">
        <f>SUM(I10+0.04*I10)</f>
        <v>0</v>
      </c>
      <c r="K10" s="269">
        <f>SUM(J10+0.04*J10)</f>
        <v>0</v>
      </c>
      <c r="L10" s="269">
        <f>SUM(K10+0.04*K10)</f>
        <v>0</v>
      </c>
      <c r="M10" s="269">
        <f>SUM(L10+0.04*L10)</f>
        <v>0</v>
      </c>
      <c r="N10" s="269">
        <f>SUM(M10+0.04*M10)</f>
        <v>0</v>
      </c>
      <c r="O10" s="269">
        <f>SUM(N10+0.04*N10)</f>
        <v>0</v>
      </c>
      <c r="P10" s="269">
        <f>SUM(O10+0.04*O10)</f>
        <v>0</v>
      </c>
      <c r="Q10" s="269">
        <f>SUM(P10+0.04*P10)</f>
        <v>0</v>
      </c>
      <c r="R10" s="269">
        <f>SUM(Q10+0.04*Q10)</f>
        <v>0</v>
      </c>
      <c r="S10" s="269">
        <f>SUM(R10+0.04*R10)</f>
        <v>0</v>
      </c>
      <c r="T10" s="269">
        <f>SUM(S10+0.04*S10)</f>
        <v>0</v>
      </c>
      <c r="U10" s="269">
        <f>SUM(T10+0.04*T10)</f>
        <v>0</v>
      </c>
      <c r="V10" s="269">
        <f>SUM(U10+0.04*U10)</f>
        <v>0</v>
      </c>
      <c r="W10" s="269">
        <f>SUM(V10+0.04*V10)</f>
        <v>0</v>
      </c>
      <c r="X10" s="269">
        <f>SUM(W10+0.04*W10)</f>
        <v>0</v>
      </c>
    </row>
    <row r="11" spans="1:24" ht="19.5" customHeight="1">
      <c r="A11" s="262" t="s">
        <v>344</v>
      </c>
      <c r="B11" s="248" t="s">
        <v>345</v>
      </c>
      <c r="C11" s="66">
        <v>22008845</v>
      </c>
      <c r="D11" s="267">
        <v>0</v>
      </c>
      <c r="E11" s="269">
        <f>SUM(D11+0.03*D11)</f>
        <v>0</v>
      </c>
      <c r="F11" s="269">
        <f>SUM(E11+0.03*E11)</f>
        <v>0</v>
      </c>
      <c r="G11" s="269">
        <f>SUM(F11+0.03*F11)</f>
        <v>0</v>
      </c>
      <c r="H11" s="269">
        <f>SUM(G11+0.03*G11)</f>
        <v>0</v>
      </c>
      <c r="I11" s="269">
        <f>SUM(H11+0.03*H11)</f>
        <v>0</v>
      </c>
      <c r="J11" s="269">
        <f>SUM(I11+0.03*I11)</f>
        <v>0</v>
      </c>
      <c r="K11" s="269">
        <f>SUM(J11+0.03*J11)</f>
        <v>0</v>
      </c>
      <c r="L11" s="269">
        <f>SUM(K11+0.03*K11)</f>
        <v>0</v>
      </c>
      <c r="M11" s="269">
        <f>SUM(L11+0.03*L11)</f>
        <v>0</v>
      </c>
      <c r="N11" s="269">
        <f>SUM(M11+0.03*M11)</f>
        <v>0</v>
      </c>
      <c r="O11" s="269">
        <f>SUM(N11+0.03*N11)</f>
        <v>0</v>
      </c>
      <c r="P11" s="269">
        <f>SUM(O11+0.03*O11)</f>
        <v>0</v>
      </c>
      <c r="Q11" s="269">
        <f>SUM(P11+0.03*P11)</f>
        <v>0</v>
      </c>
      <c r="R11" s="269">
        <f>SUM(Q11+0.03*Q11)</f>
        <v>0</v>
      </c>
      <c r="S11" s="269">
        <f>SUM(R11+0.03*R11)</f>
        <v>0</v>
      </c>
      <c r="T11" s="269">
        <f>SUM(S11+0.03*S11)</f>
        <v>0</v>
      </c>
      <c r="U11" s="269">
        <f>SUM(T11+0.03*T11)</f>
        <v>0</v>
      </c>
      <c r="V11" s="269">
        <f>SUM(U11+0.03*U11)</f>
        <v>0</v>
      </c>
      <c r="W11" s="269">
        <f>SUM(V11+0.03*V11)</f>
        <v>0</v>
      </c>
      <c r="X11" s="269">
        <f>SUM(W11+0.03*W11)</f>
        <v>0</v>
      </c>
    </row>
    <row r="12" spans="1:24" ht="19.5" customHeight="1">
      <c r="A12" s="262" t="s">
        <v>346</v>
      </c>
      <c r="B12" s="248" t="s">
        <v>347</v>
      </c>
      <c r="C12" s="66">
        <v>19957957.99</v>
      </c>
      <c r="D12" s="267">
        <v>0</v>
      </c>
      <c r="E12" s="269">
        <f>SUM(E6-E7-E11)</f>
        <v>70107213.24003</v>
      </c>
      <c r="F12" s="269">
        <f>SUM(F6-F7-F11)</f>
        <v>67528175.64647093</v>
      </c>
      <c r="G12" s="269">
        <f>SUM(G6-G7-G11)</f>
        <v>69617908.40751153</v>
      </c>
      <c r="H12" s="269">
        <f>SUM(H6-H7-H11)</f>
        <v>71772313.66362439</v>
      </c>
      <c r="I12" s="269">
        <f>SUM(I6-I7-I11)</f>
        <v>73993392.98554115</v>
      </c>
      <c r="J12" s="269">
        <f>SUM(J6-J7-J11)</f>
        <v>76283209.89438766</v>
      </c>
      <c r="K12" s="269">
        <f>SUM(K6-K7-K11)</f>
        <v>78643891.77919726</v>
      </c>
      <c r="L12" s="269">
        <f>SUM(L6-L7-L11)</f>
        <v>81077631.87377845</v>
      </c>
      <c r="M12" s="269">
        <f>SUM(M6-M7-M11)</f>
        <v>83586691.29477446</v>
      </c>
      <c r="N12" s="269">
        <f>SUM(N6-N7-N11)</f>
        <v>86173401.14280859</v>
      </c>
      <c r="O12" s="269">
        <f>SUM(O6-O7-O11)</f>
        <v>88840164.66866866</v>
      </c>
      <c r="P12" s="269">
        <f>SUM(P6-P7-P11)</f>
        <v>91589459.50654338</v>
      </c>
      <c r="Q12" s="269">
        <f>SUM(Q6-Q7-Q11)</f>
        <v>94423839.97638662</v>
      </c>
      <c r="R12" s="269">
        <f>SUM(R6-R7-R11)</f>
        <v>97345939.4575492</v>
      </c>
      <c r="S12" s="269">
        <f>SUM(S6-S7-S11)</f>
        <v>100358472.83588466</v>
      </c>
      <c r="T12" s="269">
        <f>SUM(T6-T7-T11)</f>
        <v>103464239.02660306</v>
      </c>
      <c r="U12" s="269">
        <f>SUM(U6-U7-U11)</f>
        <v>106666123.5752179</v>
      </c>
      <c r="V12" s="269">
        <f>SUM(V6-V7-V11)</f>
        <v>109967101.33900353</v>
      </c>
      <c r="W12" s="269">
        <f>SUM(W6-W7-W11)</f>
        <v>113370239.25145511</v>
      </c>
      <c r="X12" s="269">
        <f>SUM(X6-X7-X11)</f>
        <v>116878699.17232098</v>
      </c>
    </row>
    <row r="13" spans="1:24" ht="19.5" customHeight="1">
      <c r="A13" s="262" t="s">
        <v>348</v>
      </c>
      <c r="B13" s="270" t="s">
        <v>349</v>
      </c>
      <c r="C13" s="249">
        <f>zał2!E12</f>
        <v>80446015.95</v>
      </c>
      <c r="D13" s="268">
        <f>zał2!F12</f>
        <v>91724402.13</v>
      </c>
      <c r="E13" s="268">
        <f>zał2!G12</f>
        <v>55981527</v>
      </c>
      <c r="F13" s="268">
        <f>zał2!H12</f>
        <v>55064299</v>
      </c>
      <c r="G13" s="268">
        <f>zał2!I12</f>
        <v>56641227.97</v>
      </c>
      <c r="H13" s="268">
        <f>zał2!J12</f>
        <v>58340464.8091</v>
      </c>
      <c r="I13" s="268">
        <f>zał2!K12</f>
        <v>60090678.753373004</v>
      </c>
      <c r="J13" s="268">
        <f>zał2!L12</f>
        <v>61893399.115974195</v>
      </c>
      <c r="K13" s="268">
        <f>zał2!M12</f>
        <v>63750201.08945342</v>
      </c>
      <c r="L13" s="268">
        <f>zał2!N12</f>
        <v>65662707.122137025</v>
      </c>
      <c r="M13" s="268">
        <f>zał2!O12</f>
        <v>67632588.33580114</v>
      </c>
      <c r="N13" s="268">
        <f>zał2!P12</f>
        <v>69661565.98587517</v>
      </c>
      <c r="O13" s="268">
        <f>zał2!Q12</f>
        <v>71751412.96545142</v>
      </c>
      <c r="P13" s="268">
        <f>zał2!R12</f>
        <v>73903955.35441495</v>
      </c>
      <c r="Q13" s="268">
        <f>zał2!S12</f>
        <v>76121074.01504742</v>
      </c>
      <c r="R13" s="268">
        <f>zał2!T12</f>
        <v>78404706.23549883</v>
      </c>
      <c r="S13" s="268">
        <f>zał2!U12</f>
        <v>80756847.42256379</v>
      </c>
      <c r="T13" s="268">
        <f>zał2!V12</f>
        <v>83179552.84524071</v>
      </c>
      <c r="U13" s="268">
        <f>zał2!W12</f>
        <v>85674939.43059793</v>
      </c>
      <c r="V13" s="268">
        <f>zał2!X12</f>
        <v>88245187.61351587</v>
      </c>
      <c r="W13" s="268">
        <f>zał2!Y12</f>
        <v>90892543.24192135</v>
      </c>
      <c r="X13" s="268">
        <f>zał2!Z12</f>
        <v>93619319.53917898</v>
      </c>
    </row>
    <row r="14" spans="1:24" ht="24.75">
      <c r="A14" s="262" t="s">
        <v>350</v>
      </c>
      <c r="B14" s="263" t="s">
        <v>351</v>
      </c>
      <c r="C14" s="271">
        <f>SUM(C15,C19,C23)</f>
        <v>9543861.239999998</v>
      </c>
      <c r="D14" s="271">
        <f>SUM(D15,D19,D23)</f>
        <v>10673140.89</v>
      </c>
      <c r="E14" s="271">
        <f>SUM(E15,E19,E23)</f>
        <v>9001163.51043</v>
      </c>
      <c r="F14" s="271">
        <f>SUM(F15,F19,F23)</f>
        <v>7649874.7363599995</v>
      </c>
      <c r="G14" s="271">
        <f>SUM(G15,G19,G23)</f>
        <v>5040833.002289999</v>
      </c>
      <c r="H14" s="271">
        <f>SUM(H15,H19,H23)</f>
        <v>4833655.26822</v>
      </c>
      <c r="I14" s="271">
        <f>SUM(I15,I19,I23)</f>
        <v>4626477.534150001</v>
      </c>
      <c r="J14" s="271">
        <f>SUM(J15,J19,J23)</f>
        <v>4419299.80008</v>
      </c>
      <c r="K14" s="271">
        <f>SUM(K15,K19,K23)</f>
        <v>4212130.52601</v>
      </c>
      <c r="L14" s="271">
        <f>SUM(L15,L19,L23)</f>
        <v>3050896.3285400006</v>
      </c>
      <c r="M14" s="271">
        <f>SUM(M15,M19,M23)</f>
        <v>1449985.2348700005</v>
      </c>
      <c r="N14" s="271">
        <f>SUM(N15,N19,N23)</f>
        <v>1396552.8712000004</v>
      </c>
      <c r="O14" s="271">
        <f>SUM(O15,O19,O23)</f>
        <v>1343120.5075300005</v>
      </c>
      <c r="P14" s="271">
        <f>SUM(P15,P19,P23)</f>
        <v>1289688.1438600007</v>
      </c>
      <c r="Q14" s="271">
        <f>SUM(Q15,Q19,Q23)</f>
        <v>1236255.7801900003</v>
      </c>
      <c r="R14" s="271">
        <f>SUM(R15,R19,R23)</f>
        <v>1182823.4165200004</v>
      </c>
      <c r="S14" s="271">
        <f>SUM(S15,S19,S23)</f>
        <v>1129391.0528500006</v>
      </c>
      <c r="T14" s="271">
        <f>SUM(T15,T19,T23)</f>
        <v>1075958.6891800005</v>
      </c>
      <c r="U14" s="271">
        <f>SUM(U15,U19,U23)</f>
        <v>1022526.3255100003</v>
      </c>
      <c r="V14" s="271">
        <f>SUM(V15,V19,V23)</f>
        <v>969093.9618400005</v>
      </c>
      <c r="W14" s="271">
        <f>SUM(W15,W19,W23)</f>
        <v>915672.8781700004</v>
      </c>
      <c r="X14" s="271">
        <f>SUM(X15,X19,X23)</f>
        <v>418691.39450000005</v>
      </c>
    </row>
    <row r="15" spans="1:24" ht="46.5" customHeight="1">
      <c r="A15" s="262" t="s">
        <v>339</v>
      </c>
      <c r="B15" s="246" t="s">
        <v>352</v>
      </c>
      <c r="C15" s="271">
        <f>SUM(C16:C18)</f>
        <v>8351861.239999999</v>
      </c>
      <c r="D15" s="271">
        <f>SUM(D16:D18)</f>
        <v>9481140.89</v>
      </c>
      <c r="E15" s="271">
        <f>SUM(E16:E18)</f>
        <v>7139069.770304594</v>
      </c>
      <c r="F15" s="271">
        <f>SUM(F16:F18)</f>
        <v>6860352.331982293</v>
      </c>
      <c r="G15" s="271">
        <f>SUM(G16:G18)</f>
        <v>4294110.515724957</v>
      </c>
      <c r="H15" s="271">
        <f>SUM(H16:H18)</f>
        <v>4129732.6994676213</v>
      </c>
      <c r="I15" s="271">
        <f>SUM(I16:I18)</f>
        <v>3965354.883210285</v>
      </c>
      <c r="J15" s="271">
        <f>SUM(J16:J18)</f>
        <v>3800977.0669529485</v>
      </c>
      <c r="K15" s="271">
        <f>SUM(K16:K18)</f>
        <v>3636607.8222517874</v>
      </c>
      <c r="L15" s="271">
        <f>SUM(L16:L18)</f>
        <v>2505593.1778113022</v>
      </c>
      <c r="M15" s="271">
        <f>SUM(M16:M18)</f>
        <v>915720.4362300439</v>
      </c>
      <c r="N15" s="271">
        <f>SUM(N16:N18)</f>
        <v>873326.4246487856</v>
      </c>
      <c r="O15" s="271">
        <f>SUM(O16:O18)</f>
        <v>830932.4130675273</v>
      </c>
      <c r="P15" s="271">
        <f>SUM(P16:P18)</f>
        <v>788538.401486269</v>
      </c>
      <c r="Q15" s="271">
        <f>SUM(Q16:Q18)</f>
        <v>746144.3899050106</v>
      </c>
      <c r="R15" s="271">
        <f>SUM(R16:R18)</f>
        <v>703750.3783237523</v>
      </c>
      <c r="S15" s="271">
        <f>SUM(S16:S18)</f>
        <v>661356.3667424939</v>
      </c>
      <c r="T15" s="271">
        <f>SUM(T16:T18)</f>
        <v>618962.3551612357</v>
      </c>
      <c r="U15" s="271">
        <f>SUM(U16:U18)</f>
        <v>576568.3435799773</v>
      </c>
      <c r="V15" s="271">
        <f>SUM(V16:V18)</f>
        <v>534174.331998719</v>
      </c>
      <c r="W15" s="271">
        <f>SUM(W16:W18)</f>
        <v>491791.74915902776</v>
      </c>
      <c r="X15" s="271">
        <f>SUM(X16:X18)</f>
        <v>0</v>
      </c>
    </row>
    <row r="16" spans="1:24" ht="24.75">
      <c r="A16" s="262" t="s">
        <v>307</v>
      </c>
      <c r="B16" s="246" t="s">
        <v>353</v>
      </c>
      <c r="C16" s="272">
        <f>zał2!E70+zał2!E71-zał2!E77-zał2!E78-zał2!E79</f>
        <v>4726604.1</v>
      </c>
      <c r="D16" s="272">
        <f>zał2!F70+zał2!F71-zał2!F77-zał2!F78-zał2!F79</f>
        <v>6035183.99</v>
      </c>
      <c r="E16" s="272">
        <f>zał2!G70+zał2!G71-zał2!G77-zał2!G78-zał2!G79</f>
        <v>4352333.14</v>
      </c>
      <c r="F16" s="272">
        <f>zał2!H70+zał2!H71-zał2!H77-zał2!H78-zał2!H79</f>
        <v>4352333.9399999995</v>
      </c>
      <c r="G16" s="272">
        <f>zał2!I70+zał2!I71-zał2!I77-zał2!I78-zał2!I79</f>
        <v>2174186.94</v>
      </c>
      <c r="H16" s="272">
        <f>zał2!J70+zał2!J71-zał2!J77-zał2!J78-zał2!J79</f>
        <v>2174186.94</v>
      </c>
      <c r="I16" s="272">
        <f>zał2!K70+zał2!K71-zał2!K77-zał2!K78-zał2!K79</f>
        <v>2174186.94</v>
      </c>
      <c r="J16" s="272">
        <f>zał2!L70+zał2!L71-zał2!L77-zał2!L78-zał2!L79</f>
        <v>2174186.94</v>
      </c>
      <c r="K16" s="272">
        <f>zał2!M70+zał2!M71-zał2!M77-zał2!M78-zał2!M79</f>
        <v>2174192.94</v>
      </c>
      <c r="L16" s="272">
        <f>zał2!N70+zał2!N71-zał2!N77-zał2!N78-zał2!N79</f>
        <v>1630657.83</v>
      </c>
      <c r="M16" s="272">
        <f>zał2!O70+zał2!O71-zał2!O77-zał2!O78-zał2!O79</f>
        <v>396660</v>
      </c>
      <c r="N16" s="272">
        <f>zał2!P70+zał2!P71-zał2!P77-zał2!P78-zał2!P79</f>
        <v>396660</v>
      </c>
      <c r="O16" s="272">
        <f>zał2!Q70+zał2!Q71-zał2!Q77-zał2!Q78-zał2!Q79</f>
        <v>396660</v>
      </c>
      <c r="P16" s="272">
        <f>zał2!R70+zał2!R71-zał2!R77-zał2!R78-zał2!R79</f>
        <v>396660</v>
      </c>
      <c r="Q16" s="272">
        <f>zał2!S70+zał2!S71-zał2!S77-zał2!S78-zał2!S79</f>
        <v>396660</v>
      </c>
      <c r="R16" s="272">
        <f>zał2!T70+zał2!T71-zał2!T77-zał2!T78-zał2!T79</f>
        <v>396660</v>
      </c>
      <c r="S16" s="272">
        <f>zał2!U70+zał2!U71-zał2!U77-zał2!U78-zał2!U79</f>
        <v>396660</v>
      </c>
      <c r="T16" s="272">
        <f>zał2!V70+zał2!V71-zał2!V77-zał2!V78-zał2!V79</f>
        <v>396660</v>
      </c>
      <c r="U16" s="272">
        <f>zał2!W70+zał2!W71-zał2!W77-zał2!W78-zał2!W79</f>
        <v>396660</v>
      </c>
      <c r="V16" s="272">
        <f>zał2!X70+zał2!X71-zał2!X77-zał2!X78-zał2!X79</f>
        <v>396660</v>
      </c>
      <c r="W16" s="272">
        <f>zał2!Y70+zał2!Y71-zał2!Y77-zał2!Y78-zał2!Y79</f>
        <v>396626</v>
      </c>
      <c r="X16" s="272">
        <f>zał2!Z70+zał2!Z71-zał2!Z77-zał2!Z78-zał2!Z79</f>
        <v>0</v>
      </c>
    </row>
    <row r="17" spans="1:24" ht="84.75">
      <c r="A17" s="262" t="s">
        <v>309</v>
      </c>
      <c r="B17" s="246" t="s">
        <v>354</v>
      </c>
      <c r="C17" s="273">
        <f>zał2!E77+zał2!E78+zał2!E79</f>
        <v>1974529.9</v>
      </c>
      <c r="D17" s="273">
        <f>zał2!F77+zał2!F78+zał2!F79</f>
        <v>1245956.9</v>
      </c>
      <c r="E17" s="273">
        <f>zał2!G77+zał2!G78+zał2!G79</f>
        <v>1083800.9</v>
      </c>
      <c r="F17" s="273">
        <f>zał2!H77+zał2!H78+zał2!H79</f>
        <v>1083800.9</v>
      </c>
      <c r="G17" s="273">
        <f>zał2!I77+zał2!I78+zał2!I79</f>
        <v>860083.9</v>
      </c>
      <c r="H17" s="273">
        <f>zał2!J77+zał2!J78+zał2!J79</f>
        <v>860083.9</v>
      </c>
      <c r="I17" s="273">
        <f>zał2!K77+zał2!K78+zał2!K79</f>
        <v>860083.9</v>
      </c>
      <c r="J17" s="273">
        <f>zał2!L77+zał2!L78+zał2!L79</f>
        <v>860083.9</v>
      </c>
      <c r="K17" s="273">
        <f>zał2!M77+zał2!M78+zał2!M79</f>
        <v>860086.9</v>
      </c>
      <c r="L17" s="273">
        <f>zał2!N77+zał2!N78+zał2!N79</f>
        <v>388668.9</v>
      </c>
      <c r="M17" s="273">
        <f>zał2!O77+zał2!O78+zał2!O79</f>
        <v>75188</v>
      </c>
      <c r="N17" s="273">
        <f>zał2!P77+zał2!P78+zał2!P79</f>
        <v>75188</v>
      </c>
      <c r="O17" s="273">
        <f>zał2!Q77+zał2!Q78+zał2!Q79</f>
        <v>75188</v>
      </c>
      <c r="P17" s="273">
        <f>zał2!R77+zał2!R78+zał2!R79</f>
        <v>75188</v>
      </c>
      <c r="Q17" s="273">
        <f>zał2!S77+zał2!S78+zał2!S79</f>
        <v>75188</v>
      </c>
      <c r="R17" s="273">
        <f>zał2!T77+zał2!T78+zał2!T79</f>
        <v>75188</v>
      </c>
      <c r="S17" s="273">
        <f>zał2!U77+zał2!U78+zał2!U79</f>
        <v>75188</v>
      </c>
      <c r="T17" s="273">
        <f>zał2!V77+zał2!V78+zał2!V79</f>
        <v>75188</v>
      </c>
      <c r="U17" s="273">
        <f>zał2!W77+zał2!W78+zał2!W79</f>
        <v>75188</v>
      </c>
      <c r="V17" s="273">
        <f>zał2!X77+zał2!X78+zał2!X79</f>
        <v>75188</v>
      </c>
      <c r="W17" s="273">
        <f>zał2!Y77+zał2!Y78+zał2!Y79</f>
        <v>75234</v>
      </c>
      <c r="X17" s="273">
        <f>zał2!Z77+zał2!Z78+zał2!Z79</f>
        <v>0</v>
      </c>
    </row>
    <row r="18" spans="1:24" ht="12.75">
      <c r="A18" s="262" t="s">
        <v>311</v>
      </c>
      <c r="B18" s="248" t="s">
        <v>355</v>
      </c>
      <c r="C18" s="274">
        <f>zał2!E40</f>
        <v>1650727.24</v>
      </c>
      <c r="D18" s="275">
        <f>zał2!F40</f>
        <v>2200000</v>
      </c>
      <c r="E18" s="275">
        <f>zał2!G40-E22</f>
        <v>1702935.7303045942</v>
      </c>
      <c r="F18" s="275">
        <f>zał2!H40-F22</f>
        <v>1424217.491982294</v>
      </c>
      <c r="G18" s="275">
        <f>zał2!I40-G22</f>
        <v>1259839.6757249576</v>
      </c>
      <c r="H18" s="275">
        <f>zał2!J40-H22</f>
        <v>1095461.8594676214</v>
      </c>
      <c r="I18" s="275">
        <f>zał2!K40-I22</f>
        <v>931084.043210285</v>
      </c>
      <c r="J18" s="275">
        <f>zał2!L40-J22</f>
        <v>766706.2269529486</v>
      </c>
      <c r="K18" s="275">
        <f>zał2!M40-K22</f>
        <v>602327.9822517876</v>
      </c>
      <c r="L18" s="275">
        <f>zał2!N40-L22</f>
        <v>486266.44781130226</v>
      </c>
      <c r="M18" s="275">
        <f>zał2!O40-M22</f>
        <v>443872.43623004394</v>
      </c>
      <c r="N18" s="275">
        <f>zał2!P40-N22</f>
        <v>401478.4246487856</v>
      </c>
      <c r="O18" s="275">
        <f>zał2!Q40-O22</f>
        <v>359084.4130675273</v>
      </c>
      <c r="P18" s="275">
        <f>zał2!R40-P22</f>
        <v>316690.40148626897</v>
      </c>
      <c r="Q18" s="275">
        <f>zał2!S40-Q22</f>
        <v>274296.3899050106</v>
      </c>
      <c r="R18" s="275">
        <f>zał2!T40-R22</f>
        <v>231902.3783237523</v>
      </c>
      <c r="S18" s="275">
        <f>zał2!U40-S22</f>
        <v>189508.36674249396</v>
      </c>
      <c r="T18" s="275">
        <f>zał2!V40-T22</f>
        <v>147114.35516123564</v>
      </c>
      <c r="U18" s="275">
        <f>zał2!W40-U22</f>
        <v>104720.34357997734</v>
      </c>
      <c r="V18" s="275">
        <f>zał2!X40-V22</f>
        <v>62326.331998719026</v>
      </c>
      <c r="W18" s="275">
        <f>zał2!Y40-W22</f>
        <v>19931.749159027757</v>
      </c>
      <c r="X18" s="275">
        <f>zał2!Z40-X22</f>
        <v>0</v>
      </c>
    </row>
    <row r="19" spans="1:24" ht="38.25" customHeight="1">
      <c r="A19" s="262" t="s">
        <v>344</v>
      </c>
      <c r="B19" s="246" t="s">
        <v>356</v>
      </c>
      <c r="C19" s="271">
        <f>SUM(C20:C22)</f>
        <v>0</v>
      </c>
      <c r="D19" s="271">
        <f>SUM(D20:D22)</f>
        <v>0</v>
      </c>
      <c r="E19" s="271">
        <f>SUM(E20:E22)</f>
        <v>862093.7401254058</v>
      </c>
      <c r="F19" s="271">
        <f>SUM(F20:F22)</f>
        <v>789522.4043777062</v>
      </c>
      <c r="G19" s="271">
        <f>SUM(G20:G22)</f>
        <v>746722.4865650426</v>
      </c>
      <c r="H19" s="271">
        <f>SUM(H20:H22)</f>
        <v>703922.568752379</v>
      </c>
      <c r="I19" s="271">
        <f>SUM(I20:I22)</f>
        <v>661122.6509397154</v>
      </c>
      <c r="J19" s="271">
        <f>SUM(J20:J22)</f>
        <v>618322.7331270518</v>
      </c>
      <c r="K19" s="271">
        <f>SUM(K20:K22)</f>
        <v>575522.703758213</v>
      </c>
      <c r="L19" s="271">
        <f>SUM(L20:L22)</f>
        <v>545303.1507286982</v>
      </c>
      <c r="M19" s="271">
        <f>SUM(M20:M22)</f>
        <v>534264.7986399566</v>
      </c>
      <c r="N19" s="271">
        <f>SUM(N20:N22)</f>
        <v>523226.4465512149</v>
      </c>
      <c r="O19" s="271">
        <f>SUM(O20:O22)</f>
        <v>512188.09446247324</v>
      </c>
      <c r="P19" s="271">
        <f>SUM(P20:P22)</f>
        <v>501149.74237373157</v>
      </c>
      <c r="Q19" s="271">
        <f>SUM(Q20:Q22)</f>
        <v>490111.39028498984</v>
      </c>
      <c r="R19" s="271">
        <f>SUM(R20:R22)</f>
        <v>479073.0381962482</v>
      </c>
      <c r="S19" s="271">
        <f>SUM(S20:S22)</f>
        <v>468034.6861075065</v>
      </c>
      <c r="T19" s="271">
        <f>SUM(T20:T22)</f>
        <v>456996.3340187648</v>
      </c>
      <c r="U19" s="271">
        <f>SUM(U20:U22)</f>
        <v>445957.9819300231</v>
      </c>
      <c r="V19" s="271">
        <f>SUM(V20:V22)</f>
        <v>434919.62984128145</v>
      </c>
      <c r="W19" s="271">
        <f>SUM(W20:W22)</f>
        <v>423881.1290109727</v>
      </c>
      <c r="X19" s="271">
        <f>SUM(X20:X22)</f>
        <v>418691.39450000005</v>
      </c>
    </row>
    <row r="20" spans="1:24" ht="24.75">
      <c r="A20" s="262" t="s">
        <v>307</v>
      </c>
      <c r="B20" s="246" t="s">
        <v>353</v>
      </c>
      <c r="C20" s="276">
        <v>0</v>
      </c>
      <c r="D20" s="276">
        <f>SUM(D55-D56)</f>
        <v>0</v>
      </c>
      <c r="E20" s="276">
        <f>zał2!G72-zał2!G80</f>
        <v>287057.0445000001</v>
      </c>
      <c r="F20" s="276">
        <f>zał2!H72-zał2!H80</f>
        <v>287057.0445000001</v>
      </c>
      <c r="G20" s="276">
        <f>zał2!I72-zał2!I80</f>
        <v>287057.0445000001</v>
      </c>
      <c r="H20" s="276">
        <f>zał2!J72-zał2!J80</f>
        <v>287057.0445000001</v>
      </c>
      <c r="I20" s="276">
        <f>zał2!K72-zał2!K80</f>
        <v>287057.0445000001</v>
      </c>
      <c r="J20" s="276">
        <f>zał2!L72-zał2!L80</f>
        <v>287057.0445000001</v>
      </c>
      <c r="K20" s="276">
        <f>zał2!M72-zał2!M80</f>
        <v>287057.0445000001</v>
      </c>
      <c r="L20" s="276">
        <f>zał2!N72-zał2!N80</f>
        <v>287057.0445000001</v>
      </c>
      <c r="M20" s="276">
        <f>zał2!O72-zał2!O80</f>
        <v>287057.0445000001</v>
      </c>
      <c r="N20" s="276">
        <f>zał2!P72-zał2!P80</f>
        <v>287057.0445000001</v>
      </c>
      <c r="O20" s="276">
        <f>zał2!Q72-zał2!Q80</f>
        <v>287057.0445000001</v>
      </c>
      <c r="P20" s="276">
        <f>zał2!R72-zał2!R80</f>
        <v>287057.0445000001</v>
      </c>
      <c r="Q20" s="276">
        <f>zał2!S72-zał2!S80</f>
        <v>287057.0445000001</v>
      </c>
      <c r="R20" s="276">
        <f>zał2!T72-zał2!T80</f>
        <v>287057.0445000001</v>
      </c>
      <c r="S20" s="276">
        <f>zał2!U72-zał2!U80</f>
        <v>287057.0445000001</v>
      </c>
      <c r="T20" s="276">
        <f>zał2!V72-zał2!V80</f>
        <v>287057.0445000001</v>
      </c>
      <c r="U20" s="276">
        <f>zał2!W72-zał2!W80</f>
        <v>287057.0445000001</v>
      </c>
      <c r="V20" s="276">
        <f>zał2!X72-zał2!X80</f>
        <v>287057.0445000001</v>
      </c>
      <c r="W20" s="276">
        <f>zał2!Y72-zał2!Y80</f>
        <v>287057.0445000001</v>
      </c>
      <c r="X20" s="276">
        <f>zał2!Z72-zał2!Z80</f>
        <v>287057.0445000001</v>
      </c>
    </row>
    <row r="21" spans="1:24" ht="84.75">
      <c r="A21" s="262" t="s">
        <v>309</v>
      </c>
      <c r="B21" s="246" t="s">
        <v>354</v>
      </c>
      <c r="C21" s="276">
        <v>0</v>
      </c>
      <c r="D21" s="276">
        <f>SUM(D56)</f>
        <v>0</v>
      </c>
      <c r="E21" s="276">
        <f>zał2!G80</f>
        <v>131634.35</v>
      </c>
      <c r="F21" s="276">
        <f>zał2!H80</f>
        <v>131634.35</v>
      </c>
      <c r="G21" s="276">
        <f>zał2!I80</f>
        <v>131634.35</v>
      </c>
      <c r="H21" s="276">
        <f>zał2!J80</f>
        <v>131634.35</v>
      </c>
      <c r="I21" s="276">
        <f>zał2!K80</f>
        <v>131634.35</v>
      </c>
      <c r="J21" s="276">
        <f>zał2!L80</f>
        <v>131634.35</v>
      </c>
      <c r="K21" s="276">
        <f>zał2!M80</f>
        <v>131634.35</v>
      </c>
      <c r="L21" s="276">
        <f>zał2!N80</f>
        <v>131634.35</v>
      </c>
      <c r="M21" s="276">
        <f>zał2!O80</f>
        <v>131634.35</v>
      </c>
      <c r="N21" s="276">
        <f>zał2!P80</f>
        <v>131634.35</v>
      </c>
      <c r="O21" s="276">
        <f>zał2!Q80</f>
        <v>131634.35</v>
      </c>
      <c r="P21" s="276">
        <f>zał2!R80</f>
        <v>131634.35</v>
      </c>
      <c r="Q21" s="276">
        <f>zał2!S80</f>
        <v>131634.35</v>
      </c>
      <c r="R21" s="276">
        <f>zał2!T80</f>
        <v>131634.35</v>
      </c>
      <c r="S21" s="276">
        <f>zał2!U80</f>
        <v>131634.35</v>
      </c>
      <c r="T21" s="276">
        <f>zał2!V80</f>
        <v>131634.35</v>
      </c>
      <c r="U21" s="276">
        <f>zał2!W80</f>
        <v>131634.35</v>
      </c>
      <c r="V21" s="276">
        <f>zał2!X80</f>
        <v>131634.35</v>
      </c>
      <c r="W21" s="276">
        <f>zał2!Y80</f>
        <v>131634.35</v>
      </c>
      <c r="X21" s="276">
        <f>zał2!Z80</f>
        <v>131634.35</v>
      </c>
    </row>
    <row r="22" spans="1:24" ht="12.75">
      <c r="A22" s="262" t="s">
        <v>311</v>
      </c>
      <c r="B22" s="248" t="s">
        <v>355</v>
      </c>
      <c r="C22" s="276">
        <v>0</v>
      </c>
      <c r="D22" s="276">
        <f>SUM(D62*0.25)</f>
        <v>0</v>
      </c>
      <c r="E22" s="276">
        <f>zał2!$F$18/zał2!$E$46*zał2!G40</f>
        <v>443402.3456254058</v>
      </c>
      <c r="F22" s="276">
        <f>zał2!$F$18/zał2!$E$46*zał2!H40</f>
        <v>370831.0098777062</v>
      </c>
      <c r="G22" s="276">
        <f>zał2!$F$18/zał2!$E$46*zał2!I40</f>
        <v>328031.0920650426</v>
      </c>
      <c r="H22" s="276">
        <f>zał2!$F$18/zał2!$E$46*zał2!J40</f>
        <v>285231.174252379</v>
      </c>
      <c r="I22" s="276">
        <f>zał2!$F$18/zał2!$E$46*zał2!K40</f>
        <v>242431.2564397154</v>
      </c>
      <c r="J22" s="276">
        <f>zał2!$F$18/zał2!$E$46*zał2!L40</f>
        <v>199631.33862705177</v>
      </c>
      <c r="K22" s="276">
        <f>zał2!$F$18/zał2!$E$46*zał2!M40</f>
        <v>156831.3092582129</v>
      </c>
      <c r="L22" s="276">
        <f>zał2!$F$18/zał2!$E$46*zał2!N40</f>
        <v>126611.75622869818</v>
      </c>
      <c r="M22" s="276">
        <f>zał2!$F$18/zał2!$E$46*zał2!O40</f>
        <v>115573.4041399565</v>
      </c>
      <c r="N22" s="276">
        <f>zał2!$F$18/zał2!$E$46*zał2!P40</f>
        <v>104535.05205121484</v>
      </c>
      <c r="O22" s="276">
        <f>zał2!$F$18/zał2!$E$46*zał2!Q40</f>
        <v>93496.69996247314</v>
      </c>
      <c r="P22" s="276">
        <f>zał2!$F$18/zał2!$E$46*zał2!R40</f>
        <v>82458.34787373146</v>
      </c>
      <c r="Q22" s="276">
        <f>zał2!$F$18/zał2!$E$46*zał2!S40</f>
        <v>71419.99578498976</v>
      </c>
      <c r="R22" s="276">
        <f>zał2!$F$18/zał2!$E$46*zał2!T40</f>
        <v>60381.64369624809</v>
      </c>
      <c r="S22" s="276">
        <f>zał2!$F$18/zał2!$E$46*zał2!U40</f>
        <v>49343.2916075064</v>
      </c>
      <c r="T22" s="276">
        <f>zał2!$F$18/zał2!$E$46*zał2!V40</f>
        <v>38304.939518764724</v>
      </c>
      <c r="U22" s="276">
        <f>zał2!$F$18/zał2!$E$46*zał2!W40</f>
        <v>27266.587430023043</v>
      </c>
      <c r="V22" s="276">
        <f>zał2!$F$18/zał2!$E$46*zał2!X40</f>
        <v>16228.235341281363</v>
      </c>
      <c r="W22" s="276">
        <f>zał2!$F$18/zał2!$E$46*zał2!Y40</f>
        <v>5189.734510972622</v>
      </c>
      <c r="X22" s="276">
        <f>zał2!$F$18/zał2!$E$46*zał2!Z40</f>
        <v>0</v>
      </c>
    </row>
    <row r="23" spans="1:24" ht="24.75">
      <c r="A23" s="262" t="s">
        <v>346</v>
      </c>
      <c r="B23" s="246" t="s">
        <v>357</v>
      </c>
      <c r="C23" s="269">
        <f>zał1!G16</f>
        <v>1192000</v>
      </c>
      <c r="D23" s="269">
        <f>zał2!F35</f>
        <v>1192000</v>
      </c>
      <c r="E23" s="269">
        <f>zał2!G35</f>
        <v>1000000</v>
      </c>
      <c r="F23" s="269">
        <f>zał2!H35</f>
        <v>0</v>
      </c>
      <c r="G23" s="269">
        <f>zał2!I35</f>
        <v>0</v>
      </c>
      <c r="H23" s="269">
        <f>zał2!J35</f>
        <v>0</v>
      </c>
      <c r="I23" s="269">
        <f>zał2!K35</f>
        <v>0</v>
      </c>
      <c r="J23" s="269">
        <f>zał2!L35</f>
        <v>0</v>
      </c>
      <c r="K23" s="269">
        <f>zał2!M35</f>
        <v>0</v>
      </c>
      <c r="L23" s="269">
        <f>zał2!N35</f>
        <v>0</v>
      </c>
      <c r="M23" s="269">
        <f>zał2!O35</f>
        <v>0</v>
      </c>
      <c r="N23" s="269">
        <f>zał2!P35</f>
        <v>0</v>
      </c>
      <c r="O23" s="269">
        <f>zał2!Q35</f>
        <v>0</v>
      </c>
      <c r="P23" s="269">
        <f>zał2!R35</f>
        <v>0</v>
      </c>
      <c r="Q23" s="269">
        <f>zał2!S35</f>
        <v>0</v>
      </c>
      <c r="R23" s="269">
        <f>zał2!T35</f>
        <v>0</v>
      </c>
      <c r="S23" s="269">
        <f>zał2!U35</f>
        <v>0</v>
      </c>
      <c r="T23" s="269">
        <f>zał2!V35</f>
        <v>0</v>
      </c>
      <c r="U23" s="269">
        <f>zał2!W35</f>
        <v>0</v>
      </c>
      <c r="V23" s="269">
        <f>zał2!X35</f>
        <v>0</v>
      </c>
      <c r="W23" s="269">
        <f>zał2!Y35</f>
        <v>0</v>
      </c>
      <c r="X23" s="269">
        <f>zał2!Z35</f>
        <v>0</v>
      </c>
    </row>
    <row r="24" spans="1:24" ht="24.75">
      <c r="A24" s="262" t="s">
        <v>358</v>
      </c>
      <c r="B24" s="246" t="s">
        <v>359</v>
      </c>
      <c r="C24" s="269">
        <f>zał2!E30</f>
        <v>0</v>
      </c>
      <c r="D24" s="269">
        <f>zał2!F30</f>
        <v>0</v>
      </c>
      <c r="E24" s="269">
        <f>zał2!G30</f>
        <v>0</v>
      </c>
      <c r="F24" s="269">
        <f>zał2!H30</f>
        <v>0</v>
      </c>
      <c r="G24" s="269">
        <f>zał2!I30</f>
        <v>0</v>
      </c>
      <c r="H24" s="269">
        <f>zał2!J30</f>
        <v>0</v>
      </c>
      <c r="I24" s="269">
        <f>zał2!K30</f>
        <v>0</v>
      </c>
      <c r="J24" s="269">
        <f>zał2!L30</f>
        <v>0</v>
      </c>
      <c r="K24" s="269">
        <f>zał2!M30</f>
        <v>0</v>
      </c>
      <c r="L24" s="269">
        <f>zał2!N30</f>
        <v>0</v>
      </c>
      <c r="M24" s="269">
        <f>zał2!O30</f>
        <v>0</v>
      </c>
      <c r="N24" s="269">
        <f>zał2!P30</f>
        <v>0</v>
      </c>
      <c r="O24" s="269">
        <f>zał2!Q30</f>
        <v>0</v>
      </c>
      <c r="P24" s="269">
        <f>zał2!R30</f>
        <v>0</v>
      </c>
      <c r="Q24" s="269">
        <f>zał2!S30</f>
        <v>0</v>
      </c>
      <c r="R24" s="269">
        <f>zał2!T30</f>
        <v>0</v>
      </c>
      <c r="S24" s="269">
        <f>zał2!U30</f>
        <v>0</v>
      </c>
      <c r="T24" s="269">
        <f>zał2!V30</f>
        <v>0</v>
      </c>
      <c r="U24" s="269">
        <f>zał2!W30</f>
        <v>0</v>
      </c>
      <c r="V24" s="269">
        <f>zał2!X30</f>
        <v>0</v>
      </c>
      <c r="W24" s="269">
        <f>zał2!Y30</f>
        <v>0</v>
      </c>
      <c r="X24" s="269">
        <f>zał2!Z30</f>
        <v>0</v>
      </c>
    </row>
    <row r="25" spans="1:24" ht="12.75">
      <c r="A25" s="262" t="s">
        <v>360</v>
      </c>
      <c r="B25" s="270" t="s">
        <v>361</v>
      </c>
      <c r="C25" s="271">
        <f>C6-C13</f>
        <v>-7771882.680000007</v>
      </c>
      <c r="D25" s="265">
        <f>D6-D13</f>
        <v>-1803765</v>
      </c>
      <c r="E25" s="265">
        <f>E6-E13</f>
        <v>14125686.240030006</v>
      </c>
      <c r="F25" s="265">
        <f>F6-F13</f>
        <v>12463876.646470934</v>
      </c>
      <c r="G25" s="265">
        <f>G6-G13</f>
        <v>12976680.437511533</v>
      </c>
      <c r="H25" s="265">
        <f>H6-H13</f>
        <v>13431848.854524389</v>
      </c>
      <c r="I25" s="265">
        <f>I6-I13</f>
        <v>13902714.232168145</v>
      </c>
      <c r="J25" s="265">
        <f>J6-J13</f>
        <v>14389810.778413467</v>
      </c>
      <c r="K25" s="265">
        <f>K6-K13</f>
        <v>14893690.68974384</v>
      </c>
      <c r="L25" s="265">
        <f>L6-L13</f>
        <v>15414924.751641423</v>
      </c>
      <c r="M25" s="265">
        <f>M6-M13</f>
        <v>15954102.958973318</v>
      </c>
      <c r="N25" s="265">
        <f>N6-N13</f>
        <v>16511835.156933412</v>
      </c>
      <c r="O25" s="265">
        <f>O6-O13</f>
        <v>17088751.70321724</v>
      </c>
      <c r="P25" s="265">
        <f>P6-P13</f>
        <v>17685504.15212843</v>
      </c>
      <c r="Q25" s="265">
        <f>Q6-Q13</f>
        <v>18302765.961339206</v>
      </c>
      <c r="R25" s="265">
        <f>R6-R13</f>
        <v>18941233.22205037</v>
      </c>
      <c r="S25" s="265">
        <f>S6-S13</f>
        <v>19601625.41332087</v>
      </c>
      <c r="T25" s="265">
        <f>T6-T13</f>
        <v>20284686.181362346</v>
      </c>
      <c r="U25" s="265">
        <f>U6-U13</f>
        <v>20991184.14461997</v>
      </c>
      <c r="V25" s="265">
        <f>V6-V13</f>
        <v>21721913.725487664</v>
      </c>
      <c r="W25" s="265">
        <f>W6-W13</f>
        <v>22477696.009533763</v>
      </c>
      <c r="X25" s="265">
        <f>X6-X13</f>
        <v>23259379.633141994</v>
      </c>
    </row>
    <row r="26" spans="1:24" ht="24.75">
      <c r="A26" s="262" t="s">
        <v>362</v>
      </c>
      <c r="B26" s="263" t="s">
        <v>363</v>
      </c>
      <c r="C26" s="276">
        <f>zał1!G34</f>
        <v>41627126.7</v>
      </c>
      <c r="D26" s="276">
        <f>zał2!F46</f>
        <v>41627126.7</v>
      </c>
      <c r="E26" s="276">
        <f>zał2!G46</f>
        <v>35772301.2655</v>
      </c>
      <c r="F26" s="276">
        <f>zał2!H46</f>
        <v>29917475.031000003</v>
      </c>
      <c r="G26" s="276">
        <f>zał2!I46</f>
        <v>26464512.796500005</v>
      </c>
      <c r="H26" s="276">
        <f>zał2!J46</f>
        <v>23011550.562000006</v>
      </c>
      <c r="I26" s="276">
        <f>zał2!K46</f>
        <v>19558588.327500008</v>
      </c>
      <c r="J26" s="276">
        <f>zał2!L46</f>
        <v>16105626.093000008</v>
      </c>
      <c r="K26" s="276">
        <f>zał2!M46</f>
        <v>12652654.858500008</v>
      </c>
      <c r="L26" s="276">
        <f>zał2!N46</f>
        <v>10214636.734000009</v>
      </c>
      <c r="M26" s="276">
        <f>zał2!O46</f>
        <v>9324097.339500008</v>
      </c>
      <c r="N26" s="276">
        <f>zał2!P46</f>
        <v>8433557.945000008</v>
      </c>
      <c r="O26" s="276">
        <f>zał2!Q46</f>
        <v>7543018.550500007</v>
      </c>
      <c r="P26" s="276">
        <f>zał2!R46</f>
        <v>6652479.156000007</v>
      </c>
      <c r="Q26" s="276">
        <f>zał2!S46</f>
        <v>5761939.761500007</v>
      </c>
      <c r="R26" s="276">
        <f>zał2!T46</f>
        <v>4871400.367000006</v>
      </c>
      <c r="S26" s="276">
        <f>zał2!U46</f>
        <v>3980860.972500006</v>
      </c>
      <c r="T26" s="276">
        <f>zał2!V46</f>
        <v>3090321.5780000063</v>
      </c>
      <c r="U26" s="276">
        <f>zał2!W46</f>
        <v>2199782.1835000063</v>
      </c>
      <c r="V26" s="276">
        <f>zał2!X46</f>
        <v>1309242.7890000064</v>
      </c>
      <c r="W26" s="276">
        <f>zał2!Y46</f>
        <v>418691.39450000634</v>
      </c>
      <c r="X26" s="276">
        <f>zał2!Z46</f>
        <v>0</v>
      </c>
    </row>
    <row r="27" spans="1:24" ht="72.75">
      <c r="A27" s="262" t="s">
        <v>307</v>
      </c>
      <c r="B27" s="246" t="s">
        <v>364</v>
      </c>
      <c r="C27" s="276">
        <f>zał1!G35</f>
        <v>10316494.2</v>
      </c>
      <c r="D27" s="277">
        <f>zał2!F50</f>
        <v>10316494.2</v>
      </c>
      <c r="E27" s="277">
        <f>zał2!G50</f>
        <v>9101058.95</v>
      </c>
      <c r="F27" s="277">
        <f>zał2!H50</f>
        <v>7885623.699999999</v>
      </c>
      <c r="G27" s="277">
        <f>zał2!I50</f>
        <v>6893905.449999999</v>
      </c>
      <c r="H27" s="277">
        <f>zał2!J50</f>
        <v>5902187.199999999</v>
      </c>
      <c r="I27" s="277">
        <f>zał2!K50</f>
        <v>4910468.949999999</v>
      </c>
      <c r="J27" s="277">
        <f>zał2!L50</f>
        <v>3918750.6999999993</v>
      </c>
      <c r="K27" s="277">
        <f>zał2!M50</f>
        <v>2927029.4499999993</v>
      </c>
      <c r="L27" s="277">
        <f>zał2!N50</f>
        <v>2406726.1999999993</v>
      </c>
      <c r="M27" s="277">
        <f>zał2!O50</f>
        <v>2199903.849999999</v>
      </c>
      <c r="N27" s="277">
        <f>zał2!P50</f>
        <v>1993081.499999999</v>
      </c>
      <c r="O27" s="277">
        <f>zał2!Q50</f>
        <v>1786259.149999999</v>
      </c>
      <c r="P27" s="277">
        <f>zał2!R50</f>
        <v>1579436.7999999989</v>
      </c>
      <c r="Q27" s="277">
        <f>zał2!S50</f>
        <v>1372614.4499999988</v>
      </c>
      <c r="R27" s="277">
        <f>zał2!T50</f>
        <v>1165792.0999999987</v>
      </c>
      <c r="S27" s="277">
        <f>zał2!U50</f>
        <v>958969.7499999987</v>
      </c>
      <c r="T27" s="277">
        <f>zał2!V50</f>
        <v>752147.3999999987</v>
      </c>
      <c r="U27" s="277">
        <f>zał2!W50</f>
        <v>545325.0499999988</v>
      </c>
      <c r="V27" s="277">
        <f>zał2!X50</f>
        <v>338502.6999999988</v>
      </c>
      <c r="W27" s="277">
        <f>zał2!Y50</f>
        <v>131634.34999999878</v>
      </c>
      <c r="X27" s="278">
        <f>zał2!Z50</f>
        <v>-1.2223608791828156E-09</v>
      </c>
    </row>
    <row r="28" spans="1:24" ht="24.75">
      <c r="A28" s="262" t="s">
        <v>365</v>
      </c>
      <c r="B28" s="263" t="s">
        <v>366</v>
      </c>
      <c r="C28" s="279">
        <f>C26/C6</f>
        <v>0.572791512288785</v>
      </c>
      <c r="D28" s="279">
        <f>D26/D6</f>
        <v>0.46293184777837887</v>
      </c>
      <c r="E28" s="279">
        <f>E26/E6</f>
        <v>0.510251365191544</v>
      </c>
      <c r="F28" s="279">
        <f>F26/F6</f>
        <v>0.4430369211753392</v>
      </c>
      <c r="G28" s="279">
        <f>G26/G6</f>
        <v>0.3801394411562726</v>
      </c>
      <c r="H28" s="279">
        <f>H26/H6</f>
        <v>0.3206187649160697</v>
      </c>
      <c r="I28" s="279">
        <f>I26/I6</f>
        <v>0.2643288480002789</v>
      </c>
      <c r="J28" s="279">
        <f>J26/J6</f>
        <v>0.21112937060852413</v>
      </c>
      <c r="K28" s="279">
        <f>K26/K6</f>
        <v>0.1608854110885553</v>
      </c>
      <c r="L28" s="279">
        <f>L26/L6</f>
        <v>0.12598587918677917</v>
      </c>
      <c r="M28" s="279">
        <f>M26/M6</f>
        <v>0.1115500230367764</v>
      </c>
      <c r="N28" s="279">
        <f>N26/N6</f>
        <v>0.09786729818199606</v>
      </c>
      <c r="O28" s="279">
        <f>O26/O6</f>
        <v>0.08490549942846078</v>
      </c>
      <c r="P28" s="279">
        <f>P26/P6</f>
        <v>0.07263367631866784</v>
      </c>
      <c r="Q28" s="279">
        <f>Q26/Q6</f>
        <v>0.061022086826175936</v>
      </c>
      <c r="R28" s="279">
        <f>R26/R6</f>
        <v>0.050042152699387485</v>
      </c>
      <c r="S28" s="279">
        <f>S26/S6</f>
        <v>0.03966641639724703</v>
      </c>
      <c r="T28" s="279">
        <f>T26/T6</f>
        <v>0.02986849956152882</v>
      </c>
      <c r="U28" s="279">
        <f>U26/U6</f>
        <v>0.02062306297227332</v>
      </c>
      <c r="V28" s="279">
        <f>V26/V6</f>
        <v>0.011905767934756313</v>
      </c>
      <c r="W28" s="279">
        <f>W26/W6</f>
        <v>0.003693133200251515</v>
      </c>
      <c r="X28" s="279">
        <f>X26/X6</f>
        <v>0</v>
      </c>
    </row>
    <row r="29" spans="1:24" ht="48.75">
      <c r="A29" s="262" t="s">
        <v>367</v>
      </c>
      <c r="B29" s="263" t="s">
        <v>368</v>
      </c>
      <c r="C29" s="279">
        <f>C14/C6</f>
        <v>0.1313240462675008</v>
      </c>
      <c r="D29" s="279">
        <f>D14/D6</f>
        <v>0.1186951208382747</v>
      </c>
      <c r="E29" s="279">
        <f>E14/E6</f>
        <v>0.12839140360082793</v>
      </c>
      <c r="F29" s="279">
        <f>F14/F6</f>
        <v>0.11328419083034694</v>
      </c>
      <c r="G29" s="279">
        <f>G14/G6</f>
        <v>0.07240713083167133</v>
      </c>
      <c r="H29" s="279">
        <f>H14/H6</f>
        <v>0.06734707328614085</v>
      </c>
      <c r="I29" s="279">
        <f>I14/I6</f>
        <v>0.06252554920753597</v>
      </c>
      <c r="J29" s="279">
        <f>J14/J6</f>
        <v>0.05793279813734135</v>
      </c>
      <c r="K29" s="279">
        <f>K14/K6</f>
        <v>0.053559538200831834</v>
      </c>
      <c r="L29" s="279">
        <f>L14/L6</f>
        <v>0.03762932214509709</v>
      </c>
      <c r="M29" s="279">
        <f>M14/M6</f>
        <v>0.01734708256074551</v>
      </c>
      <c r="N29" s="279">
        <f>N14/N6</f>
        <v>0.016206310214976895</v>
      </c>
      <c r="O29" s="279">
        <f>O14/O6</f>
        <v>0.015118392818599537</v>
      </c>
      <c r="P29" s="279">
        <f>P14/P6</f>
        <v>0.014081185223806917</v>
      </c>
      <c r="Q29" s="279">
        <f>Q14/Q6</f>
        <v>0.013092623435979318</v>
      </c>
      <c r="R29" s="279">
        <f>R14/R6</f>
        <v>0.012150721674793722</v>
      </c>
      <c r="S29" s="279">
        <f>S14/S6</f>
        <v>0.011253569538636602</v>
      </c>
      <c r="T29" s="279">
        <f>T14/T6</f>
        <v>0.010399329268766444</v>
      </c>
      <c r="U29" s="279">
        <f>U14/U6</f>
        <v>0.009586233109792763</v>
      </c>
      <c r="V29" s="279">
        <f>V14/V6</f>
        <v>0.008812580763154831</v>
      </c>
      <c r="W29" s="279">
        <f>W14/W6</f>
        <v>0.008076836427407008</v>
      </c>
      <c r="X29" s="279">
        <f>X14/X6</f>
        <v>0.0035822728817566604</v>
      </c>
    </row>
    <row r="30" spans="1:24" ht="36.75">
      <c r="A30" s="262" t="s">
        <v>369</v>
      </c>
      <c r="B30" s="263" t="s">
        <v>370</v>
      </c>
      <c r="C30" s="279">
        <f>(C26-C27)/C6</f>
        <v>0.43083599475035067</v>
      </c>
      <c r="D30" s="279">
        <f>(D26-D27)/D6</f>
        <v>0.3482029654075251</v>
      </c>
      <c r="E30" s="279">
        <f>(E26-E27)/E6</f>
        <v>0.38043506627747664</v>
      </c>
      <c r="F30" s="279">
        <f>(F26-F27)/F6</f>
        <v>0.32626161035865925</v>
      </c>
      <c r="G30" s="279">
        <f>(G26-G27)/G6</f>
        <v>0.2811145550645185</v>
      </c>
      <c r="H30" s="279">
        <f>(H26-H27)/H6</f>
        <v>0.23838389050945932</v>
      </c>
      <c r="I30" s="279">
        <f>(I26-I27)/I6</f>
        <v>0.19796523427926002</v>
      </c>
      <c r="J30" s="279">
        <f>(J26-J27)/J6</f>
        <v>0.15975829294378743</v>
      </c>
      <c r="K30" s="279">
        <f>(K26-K27)/K6</f>
        <v>0.12366663434975904</v>
      </c>
      <c r="L30" s="279">
        <f>(L26-L27)/L6</f>
        <v>0.09630165994679463</v>
      </c>
      <c r="M30" s="279">
        <f>(M26-M27)/M6</f>
        <v>0.08523119385568248</v>
      </c>
      <c r="N30" s="279">
        <f>(N26-N27)/N6</f>
        <v>0.07473856618850055</v>
      </c>
      <c r="O30" s="279">
        <f>(O26-O27)/O6</f>
        <v>0.06479906269838613</v>
      </c>
      <c r="P30" s="279">
        <f>(P26-P27)/P6</f>
        <v>0.05538893212529087</v>
      </c>
      <c r="Q30" s="279">
        <f>(Q26-Q27)/Q6</f>
        <v>0.04648535065506427</v>
      </c>
      <c r="R30" s="279">
        <f>(R26-R27)/R6</f>
        <v>0.03806638764440664</v>
      </c>
      <c r="S30" s="279">
        <f>(S26-S27)/S6</f>
        <v>0.030110972567724104</v>
      </c>
      <c r="T30" s="279">
        <f>(T26-T27)/T6</f>
        <v>0.022598863143417205</v>
      </c>
      <c r="U30" s="279">
        <f>(U26-U27)/U6</f>
        <v>0.015510614598582759</v>
      </c>
      <c r="V30" s="279">
        <f>(V26-V27)/V6</f>
        <v>0.008827550032508695</v>
      </c>
      <c r="W30" s="279">
        <f>(W26-W27)/W6</f>
        <v>0.002532031743033683</v>
      </c>
      <c r="X30" s="279">
        <f>(X26-X27)/X6</f>
        <v>1.045837169509064E-17</v>
      </c>
    </row>
    <row r="31" spans="1:24" ht="48.75">
      <c r="A31" s="262" t="s">
        <v>371</v>
      </c>
      <c r="B31" s="263" t="s">
        <v>372</v>
      </c>
      <c r="C31" s="279">
        <f>(C14-C21-C17+C23)/C6</f>
        <v>0.12055639256748715</v>
      </c>
      <c r="D31" s="279">
        <f>(D14-D21-D17)/D6</f>
        <v>0.1048389367656608</v>
      </c>
      <c r="E31" s="279">
        <f>(E14-E21-E17)/E6</f>
        <v>0.11105459624780072</v>
      </c>
      <c r="F31" s="279">
        <f>(F14-F21-F17)/F6</f>
        <v>0.09528525574341158</v>
      </c>
      <c r="G31" s="279">
        <f>(G14-G21-G17)/G6</f>
        <v>0.05816197074735894</v>
      </c>
      <c r="H31" s="279">
        <f>(H14-H21-H17)/H6</f>
        <v>0.053529513291518276</v>
      </c>
      <c r="I31" s="279">
        <f>(I14-I21-I17)/I6</f>
        <v>0.04912275457972659</v>
      </c>
      <c r="J31" s="279">
        <f>(J14-J21-J17)/J6</f>
        <v>0.044932319377034714</v>
      </c>
      <c r="K31" s="279">
        <f>(K14-K21-K17)/K6</f>
        <v>0.040949261324092524</v>
      </c>
      <c r="L31" s="279">
        <f>(L14-L21-L17)/L6</f>
        <v>0.031211975733080422</v>
      </c>
      <c r="M31" s="279">
        <f>(M14-M21-M17)/M6</f>
        <v>0.014872737102200844</v>
      </c>
      <c r="N31" s="279">
        <f>(N14-N21-N17)/N6</f>
        <v>0.013806238414894997</v>
      </c>
      <c r="O31" s="279">
        <f>(O14-O21-O17)/O6</f>
        <v>0.012790365278676028</v>
      </c>
      <c r="P31" s="279">
        <f>(P14-P21-P17)/P6</f>
        <v>0.01182303945993521</v>
      </c>
      <c r="Q31" s="279">
        <f>(Q14-Q21-Q17)/Q6</f>
        <v>0.010902261869962496</v>
      </c>
      <c r="R31" s="279">
        <f>(R14-R21-R17)/R6</f>
        <v>0.010026109686327663</v>
      </c>
      <c r="S31" s="279">
        <f>(S14-S21-S17)/S6</f>
        <v>0.009192733575755674</v>
      </c>
      <c r="T31" s="279">
        <f>(T14-T21-T17)/T6</f>
        <v>0.008400355014997262</v>
      </c>
      <c r="U31" s="279">
        <f>(U14-U21-U17)/U6</f>
        <v>0.0076472637063143035</v>
      </c>
      <c r="V31" s="279">
        <f>(V14-V21-V17)/V6</f>
        <v>0.006931815084314087</v>
      </c>
      <c r="W31" s="279">
        <f>(W14-W21-W17)/W6</f>
        <v>0.006252121657764807</v>
      </c>
      <c r="X31" s="279">
        <f>(X14-X21-X17)/X6</f>
        <v>0.002456025319692987</v>
      </c>
    </row>
    <row r="36" spans="1:25" ht="12.75">
      <c r="A36" s="280"/>
      <c r="B36" s="280"/>
      <c r="C36" s="280"/>
      <c r="D36" s="281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</row>
    <row r="37" spans="1:25" ht="12.75">
      <c r="A37" s="280"/>
      <c r="B37" s="280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</row>
    <row r="38" spans="1:25" ht="17.25">
      <c r="A38" s="280"/>
      <c r="B38" s="282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</row>
    <row r="39" spans="1:25" ht="12.75">
      <c r="A39" s="280"/>
      <c r="B39" s="280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0"/>
    </row>
    <row r="40" spans="1:25" ht="12.75">
      <c r="A40" s="280"/>
      <c r="B40" s="280"/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0"/>
    </row>
    <row r="41" spans="1:25" ht="12.75">
      <c r="A41" s="280"/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0"/>
    </row>
    <row r="42" spans="1:25" ht="12.75">
      <c r="A42" s="280"/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</row>
    <row r="43" spans="1:25" ht="12.75">
      <c r="A43" s="280"/>
      <c r="B43" s="280"/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</row>
    <row r="44" spans="1:25" ht="12.75">
      <c r="A44" s="280"/>
      <c r="B44" s="283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</row>
    <row r="45" spans="1:25" ht="12.75">
      <c r="A45" s="280"/>
      <c r="B45" s="283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</row>
    <row r="46" spans="1:25" ht="12.75">
      <c r="A46" s="280"/>
      <c r="B46" s="280"/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</row>
    <row r="47" spans="1:25" ht="12.75">
      <c r="A47" s="280"/>
      <c r="B47" s="283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</row>
    <row r="48" spans="1:25" ht="12.75">
      <c r="A48" s="280"/>
      <c r="B48" s="283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/>
    </row>
    <row r="49" spans="1:25" ht="12.75">
      <c r="A49" s="280"/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4"/>
    </row>
    <row r="50" spans="1:25" ht="12.75">
      <c r="A50" s="280"/>
      <c r="B50" s="280"/>
      <c r="C50" s="280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</row>
    <row r="51" spans="1:25" ht="12.75">
      <c r="A51" s="280"/>
      <c r="B51" s="280"/>
      <c r="C51" s="280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</row>
    <row r="52" spans="1:25" ht="12.75">
      <c r="A52" s="280"/>
      <c r="B52" s="280"/>
      <c r="C52" s="280"/>
      <c r="D52" s="16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</row>
    <row r="53" spans="1:25" ht="12.75">
      <c r="A53" s="280"/>
      <c r="B53" s="280"/>
      <c r="C53" s="280"/>
      <c r="D53" s="16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</row>
    <row r="54" spans="1:25" ht="12.75">
      <c r="A54" s="280"/>
      <c r="B54" s="280"/>
      <c r="C54" s="280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0"/>
    </row>
    <row r="55" spans="1:25" ht="12.75">
      <c r="A55" s="280"/>
      <c r="B55" s="285"/>
      <c r="C55" s="280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0"/>
    </row>
    <row r="56" spans="1:25" ht="12.75">
      <c r="A56" s="280"/>
      <c r="B56" s="280"/>
      <c r="C56" s="280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0"/>
    </row>
    <row r="57" spans="1:25" ht="12.75">
      <c r="A57" s="280"/>
      <c r="B57" s="280"/>
      <c r="C57" s="280"/>
      <c r="D57" s="280"/>
      <c r="E57" s="280"/>
      <c r="F57" s="280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</row>
    <row r="58" spans="1:25" ht="12.75">
      <c r="A58" s="280"/>
      <c r="B58" s="285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0"/>
    </row>
    <row r="59" spans="1:25" ht="12.75">
      <c r="A59" s="280"/>
      <c r="B59" s="280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0"/>
    </row>
    <row r="60" spans="1:25" ht="12.75">
      <c r="A60" s="280"/>
      <c r="B60" s="280"/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0"/>
      <c r="S60" s="280"/>
      <c r="T60" s="280"/>
      <c r="U60" s="280"/>
      <c r="V60" s="280"/>
      <c r="W60" s="280"/>
      <c r="X60" s="280"/>
      <c r="Y60" s="280"/>
    </row>
    <row r="61" spans="1:25" ht="12.75">
      <c r="A61" s="280"/>
      <c r="B61" s="280"/>
      <c r="C61" s="280"/>
      <c r="D61" s="280"/>
      <c r="E61" s="280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0"/>
      <c r="W61" s="280"/>
      <c r="X61" s="280"/>
      <c r="Y61" s="280"/>
    </row>
    <row r="62" spans="1:25" ht="12.75">
      <c r="A62" s="280"/>
      <c r="B62" s="280"/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</row>
    <row r="63" spans="1:25" ht="12.75">
      <c r="A63" s="280"/>
      <c r="B63" s="280"/>
      <c r="C63" s="283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</row>
    <row r="64" spans="1:25" ht="12.75">
      <c r="A64" s="280"/>
      <c r="B64" s="280"/>
      <c r="C64" s="283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</row>
    <row r="65" spans="1:25" ht="12.75">
      <c r="A65" s="280"/>
      <c r="B65" s="280"/>
      <c r="C65" s="283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</row>
    <row r="66" spans="1:25" ht="12.75">
      <c r="A66" s="280"/>
      <c r="B66" s="280"/>
      <c r="C66" s="283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</row>
    <row r="67" spans="1:25" ht="12.75">
      <c r="A67" s="280"/>
      <c r="B67" s="280"/>
      <c r="C67" s="283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</row>
    <row r="68" spans="1:25" ht="12.75">
      <c r="A68" s="280"/>
      <c r="B68" s="280"/>
      <c r="C68" s="280"/>
      <c r="D68" s="280"/>
      <c r="E68" s="280"/>
      <c r="F68" s="280"/>
      <c r="G68" s="280"/>
      <c r="H68" s="280"/>
      <c r="I68" s="280"/>
      <c r="J68" s="280"/>
      <c r="K68" s="280"/>
      <c r="L68" s="280"/>
      <c r="M68" s="280"/>
      <c r="N68" s="280"/>
      <c r="O68" s="280"/>
      <c r="P68" s="280"/>
      <c r="Q68" s="280"/>
      <c r="R68" s="280"/>
      <c r="S68" s="280"/>
      <c r="T68" s="280"/>
      <c r="U68" s="280"/>
      <c r="V68" s="280"/>
      <c r="W68" s="280"/>
      <c r="X68" s="280"/>
      <c r="Y68" s="280"/>
    </row>
    <row r="69" spans="1:25" ht="12.75">
      <c r="A69" s="280"/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/>
      <c r="N69" s="280"/>
      <c r="O69" s="280"/>
      <c r="P69" s="280"/>
      <c r="Q69" s="280"/>
      <c r="R69" s="280"/>
      <c r="S69" s="280"/>
      <c r="T69" s="280"/>
      <c r="U69" s="280"/>
      <c r="V69" s="280"/>
      <c r="W69" s="280"/>
      <c r="X69" s="280"/>
      <c r="Y69" s="280"/>
    </row>
  </sheetData>
  <sheetProtection selectLockedCells="1" selectUnlockedCells="1"/>
  <mergeCells count="5">
    <mergeCell ref="V1:X1"/>
    <mergeCell ref="A3:A4"/>
    <mergeCell ref="B3:B4"/>
    <mergeCell ref="C3:C4"/>
    <mergeCell ref="D3:X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20837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Komocki</dc:creator>
  <cp:keywords/>
  <dc:description/>
  <cp:lastModifiedBy>Piotr Komocki</cp:lastModifiedBy>
  <cp:lastPrinted>2012-07-27T08:28:58Z</cp:lastPrinted>
  <dcterms:created xsi:type="dcterms:W3CDTF">2010-07-08T12:34:26Z</dcterms:created>
  <dcterms:modified xsi:type="dcterms:W3CDTF">2012-07-27T08:53:53Z</dcterms:modified>
  <cp:category/>
  <cp:version/>
  <cp:contentType/>
  <cp:contentStatus/>
  <cp:revision>149</cp:revision>
</cp:coreProperties>
</file>