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.zymkowska\Desktop\Magda\Gospodarka odpadami komunalnymi\Materiały na komisję\Materiały na komisje rewizyjna wrzesień 2026\"/>
    </mc:Choice>
  </mc:AlternateContent>
  <xr:revisionPtr revIDLastSave="0" documentId="13_ncr:1_{AEC3214E-6869-4DA8-8CA1-B0BFDA4B8F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szty zagospodarowanie i odbió" sheetId="1" r:id="rId1"/>
    <sheet name="Podział odpadów" sheetId="2" r:id="rId2"/>
    <sheet name="teren miejski" sheetId="3" r:id="rId3"/>
    <sheet name="teren wiejski" sheetId="4" r:id="rId4"/>
    <sheet name="Przeterminowane leki" sheetId="5" r:id="rId5"/>
    <sheet name="PSZOK" sheetId="6" r:id="rId6"/>
    <sheet name="MPSZOK" sheetId="7" r:id="rId7"/>
    <sheet name="Stawki PGO Eko Mazury + odbiór" sheetId="8" r:id="rId8"/>
    <sheet name="Kwartalne informacje 2025" sheetId="10" r:id="rId9"/>
    <sheet name="Kwartalne informacje 2026" sheetId="11" r:id="rId10"/>
    <sheet name="Plan finansowy i jego wykonanie" sheetId="12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F42" i="1"/>
  <c r="G41" i="1"/>
  <c r="F41" i="1"/>
  <c r="E37" i="1"/>
  <c r="H30" i="2"/>
  <c r="M3" i="8"/>
  <c r="M4" i="8"/>
  <c r="E15" i="12"/>
  <c r="D15" i="12"/>
  <c r="O15" i="12"/>
  <c r="N15" i="12"/>
  <c r="I58" i="11"/>
  <c r="H45" i="11"/>
  <c r="G45" i="11"/>
  <c r="C45" i="11"/>
  <c r="B45" i="11"/>
  <c r="P39" i="11"/>
  <c r="O39" i="11"/>
  <c r="N39" i="11"/>
  <c r="M39" i="11"/>
  <c r="I39" i="11"/>
  <c r="I38" i="11"/>
  <c r="I37" i="11"/>
  <c r="I36" i="11"/>
  <c r="M35" i="11"/>
  <c r="I35" i="11"/>
  <c r="M34" i="11"/>
  <c r="I34" i="11"/>
  <c r="I45" i="11" s="1"/>
  <c r="I33" i="11"/>
  <c r="J56" i="11" l="1"/>
  <c r="J58" i="11" s="1"/>
  <c r="I28" i="11" l="1"/>
  <c r="H15" i="11"/>
  <c r="G15" i="11"/>
  <c r="C15" i="11"/>
  <c r="B15" i="11"/>
  <c r="P9" i="11"/>
  <c r="O9" i="11"/>
  <c r="N9" i="11"/>
  <c r="M9" i="11"/>
  <c r="I6" i="11"/>
  <c r="I5" i="11"/>
  <c r="I4" i="11"/>
  <c r="I3" i="11"/>
  <c r="I15" i="11" s="1"/>
  <c r="J26" i="11" l="1"/>
  <c r="J28" i="11" s="1"/>
  <c r="I59" i="10" l="1"/>
  <c r="I45" i="10"/>
  <c r="H45" i="10"/>
  <c r="D45" i="10"/>
  <c r="C45" i="10"/>
  <c r="J57" i="10" s="1"/>
  <c r="J59" i="10" s="1"/>
  <c r="B45" i="10"/>
  <c r="J44" i="10"/>
  <c r="J43" i="10"/>
  <c r="J42" i="10"/>
  <c r="J41" i="10"/>
  <c r="J40" i="10"/>
  <c r="Q39" i="10"/>
  <c r="P39" i="10"/>
  <c r="O39" i="10"/>
  <c r="N39" i="10"/>
  <c r="J39" i="10"/>
  <c r="J38" i="10"/>
  <c r="J37" i="10"/>
  <c r="J36" i="10"/>
  <c r="J35" i="10"/>
  <c r="J34" i="10"/>
  <c r="J33" i="10"/>
  <c r="J45" i="10" s="1"/>
  <c r="J28" i="10" l="1"/>
  <c r="I28" i="10"/>
  <c r="J27" i="10"/>
  <c r="J26" i="10"/>
  <c r="I15" i="10"/>
  <c r="H15" i="10"/>
  <c r="D15" i="10"/>
  <c r="C15" i="10"/>
  <c r="B15" i="10"/>
  <c r="J14" i="10"/>
  <c r="J13" i="10"/>
  <c r="J12" i="10"/>
  <c r="J11" i="10"/>
  <c r="J10" i="10"/>
  <c r="Q9" i="10"/>
  <c r="P9" i="10"/>
  <c r="O9" i="10"/>
  <c r="N9" i="10"/>
  <c r="J9" i="10"/>
  <c r="J8" i="10"/>
  <c r="J7" i="10"/>
  <c r="J6" i="10"/>
  <c r="J5" i="10"/>
  <c r="J4" i="10"/>
  <c r="J3" i="10"/>
  <c r="J15" i="10" s="1"/>
  <c r="E9" i="8" l="1"/>
  <c r="E6" i="8"/>
  <c r="E5" i="8"/>
  <c r="D6" i="8"/>
  <c r="E10" i="8"/>
  <c r="E12" i="8"/>
  <c r="E11" i="8"/>
  <c r="E8" i="8"/>
  <c r="E7" i="8"/>
  <c r="E4" i="8"/>
  <c r="E13" i="8"/>
  <c r="D5" i="8"/>
  <c r="D14" i="8"/>
  <c r="D9" i="8"/>
  <c r="D10" i="8"/>
  <c r="D12" i="8"/>
  <c r="D11" i="8"/>
  <c r="D8" i="8"/>
  <c r="D7" i="8"/>
  <c r="D4" i="8"/>
  <c r="D13" i="8"/>
  <c r="C9" i="8"/>
  <c r="C5" i="8"/>
  <c r="C6" i="8"/>
  <c r="C10" i="8"/>
  <c r="C12" i="8"/>
  <c r="C11" i="8"/>
  <c r="C14" i="8"/>
  <c r="C8" i="8"/>
  <c r="C7" i="8"/>
  <c r="C13" i="8"/>
  <c r="C4" i="8"/>
  <c r="AC16" i="1"/>
  <c r="AB16" i="1"/>
  <c r="AA16" i="1"/>
  <c r="T16" i="1"/>
  <c r="R16" i="1"/>
  <c r="S16" i="1"/>
  <c r="R9" i="1"/>
  <c r="P22" i="7"/>
  <c r="D22" i="7"/>
  <c r="E22" i="7"/>
  <c r="F22" i="7"/>
  <c r="G22" i="7"/>
  <c r="H22" i="7"/>
  <c r="I22" i="7"/>
  <c r="J22" i="7"/>
  <c r="K22" i="7"/>
  <c r="L22" i="7"/>
  <c r="N22" i="7"/>
  <c r="O22" i="7"/>
  <c r="M22" i="7"/>
  <c r="P21" i="7"/>
  <c r="N19" i="7"/>
  <c r="M21" i="7"/>
  <c r="M16" i="7"/>
  <c r="M17" i="7"/>
  <c r="H17" i="7"/>
  <c r="H16" i="7"/>
  <c r="P20" i="7"/>
  <c r="P19" i="7"/>
  <c r="P18" i="7"/>
  <c r="P17" i="7"/>
  <c r="Q20" i="6"/>
  <c r="Q19" i="6"/>
  <c r="Q5" i="6"/>
  <c r="Q9" i="6"/>
  <c r="AF52" i="6"/>
  <c r="AE52" i="6"/>
  <c r="AD52" i="6"/>
  <c r="AC52" i="6"/>
  <c r="AB52" i="6"/>
  <c r="AA52" i="6"/>
  <c r="Z52" i="6"/>
  <c r="Y52" i="6"/>
  <c r="X52" i="6"/>
  <c r="W52" i="6"/>
  <c r="V52" i="6"/>
  <c r="U52" i="6"/>
  <c r="AG51" i="6"/>
  <c r="AG50" i="6"/>
  <c r="AG49" i="6"/>
  <c r="AG48" i="6"/>
  <c r="AG47" i="6"/>
  <c r="AG46" i="6"/>
  <c r="AG45" i="6"/>
  <c r="AG44" i="6"/>
  <c r="AG43" i="6"/>
  <c r="AG42" i="6"/>
  <c r="AG27" i="6"/>
  <c r="Q27" i="6"/>
  <c r="AE37" i="6"/>
  <c r="AG36" i="6"/>
  <c r="AG35" i="6"/>
  <c r="AG34" i="6"/>
  <c r="AG33" i="6"/>
  <c r="AG32" i="6"/>
  <c r="AG31" i="6"/>
  <c r="AG30" i="6"/>
  <c r="AG29" i="6"/>
  <c r="AG28" i="6"/>
  <c r="AF37" i="6"/>
  <c r="AD37" i="6"/>
  <c r="AC37" i="6"/>
  <c r="AB37" i="6"/>
  <c r="AA37" i="6"/>
  <c r="Z37" i="6"/>
  <c r="Y37" i="6"/>
  <c r="X37" i="6"/>
  <c r="W37" i="6"/>
  <c r="V37" i="6"/>
  <c r="U37" i="6"/>
  <c r="P36" i="6"/>
  <c r="P34" i="6"/>
  <c r="P33" i="6"/>
  <c r="P32" i="6"/>
  <c r="P31" i="6"/>
  <c r="P30" i="6"/>
  <c r="P29" i="6"/>
  <c r="P28" i="6"/>
  <c r="P27" i="6"/>
  <c r="O36" i="6"/>
  <c r="O35" i="6"/>
  <c r="O34" i="6"/>
  <c r="O33" i="6"/>
  <c r="O32" i="6"/>
  <c r="O31" i="6"/>
  <c r="O30" i="6"/>
  <c r="O29" i="6"/>
  <c r="O28" i="6"/>
  <c r="O27" i="6"/>
  <c r="N36" i="6"/>
  <c r="N35" i="6"/>
  <c r="N34" i="6"/>
  <c r="N33" i="6"/>
  <c r="N32" i="6"/>
  <c r="N31" i="6"/>
  <c r="N30" i="6"/>
  <c r="N29" i="6"/>
  <c r="N28" i="6"/>
  <c r="N27" i="6"/>
  <c r="M36" i="6"/>
  <c r="M32" i="6"/>
  <c r="M35" i="6"/>
  <c r="M34" i="6"/>
  <c r="M33" i="6"/>
  <c r="M31" i="6"/>
  <c r="M30" i="6"/>
  <c r="M29" i="6"/>
  <c r="M28" i="6"/>
  <c r="M27" i="6"/>
  <c r="L36" i="6"/>
  <c r="L35" i="6"/>
  <c r="L34" i="6"/>
  <c r="L33" i="6"/>
  <c r="L32" i="6"/>
  <c r="L31" i="6"/>
  <c r="L30" i="6"/>
  <c r="L29" i="6"/>
  <c r="L28" i="6"/>
  <c r="L27" i="6"/>
  <c r="K36" i="6"/>
  <c r="K35" i="6"/>
  <c r="K34" i="6"/>
  <c r="K33" i="6"/>
  <c r="K32" i="6"/>
  <c r="K31" i="6"/>
  <c r="K30" i="6"/>
  <c r="K29" i="6"/>
  <c r="K28" i="6"/>
  <c r="K27" i="6"/>
  <c r="J36" i="6"/>
  <c r="J35" i="6"/>
  <c r="J34" i="6"/>
  <c r="J33" i="6"/>
  <c r="J32" i="6"/>
  <c r="J31" i="6"/>
  <c r="J30" i="6"/>
  <c r="J29" i="6"/>
  <c r="J28" i="6"/>
  <c r="J27" i="6"/>
  <c r="I36" i="6"/>
  <c r="I35" i="6"/>
  <c r="I34" i="6"/>
  <c r="I33" i="6"/>
  <c r="I32" i="6"/>
  <c r="I31" i="6"/>
  <c r="I30" i="6"/>
  <c r="I29" i="6"/>
  <c r="I28" i="6"/>
  <c r="I27" i="6"/>
  <c r="H36" i="6"/>
  <c r="H35" i="6"/>
  <c r="H34" i="6"/>
  <c r="H33" i="6"/>
  <c r="H32" i="6"/>
  <c r="H31" i="6"/>
  <c r="H30" i="6"/>
  <c r="H29" i="6"/>
  <c r="H28" i="6"/>
  <c r="H27" i="6"/>
  <c r="G33" i="6"/>
  <c r="G36" i="6"/>
  <c r="G35" i="6"/>
  <c r="G34" i="6"/>
  <c r="G32" i="6"/>
  <c r="G31" i="6"/>
  <c r="G30" i="6"/>
  <c r="G29" i="6"/>
  <c r="G28" i="6"/>
  <c r="G27" i="6"/>
  <c r="F34" i="6"/>
  <c r="F35" i="6"/>
  <c r="F36" i="6"/>
  <c r="F33" i="6"/>
  <c r="F32" i="6"/>
  <c r="F31" i="6"/>
  <c r="F30" i="6"/>
  <c r="F29" i="6"/>
  <c r="F28" i="6"/>
  <c r="F27" i="6"/>
  <c r="E36" i="6"/>
  <c r="E34" i="6"/>
  <c r="E33" i="6"/>
  <c r="E32" i="6"/>
  <c r="E31" i="6"/>
  <c r="E30" i="6"/>
  <c r="E29" i="6"/>
  <c r="E28" i="6"/>
  <c r="E27" i="6"/>
  <c r="P5" i="7"/>
  <c r="P9" i="7"/>
  <c r="E10" i="7"/>
  <c r="F10" i="7"/>
  <c r="G10" i="7"/>
  <c r="H10" i="7"/>
  <c r="I10" i="7"/>
  <c r="J10" i="7"/>
  <c r="K10" i="7"/>
  <c r="L10" i="7"/>
  <c r="M10" i="7"/>
  <c r="N10" i="7"/>
  <c r="O10" i="7"/>
  <c r="D10" i="7"/>
  <c r="P8" i="7"/>
  <c r="P7" i="7"/>
  <c r="P6" i="7"/>
  <c r="L20" i="6"/>
  <c r="E20" i="6"/>
  <c r="F20" i="6"/>
  <c r="G20" i="6"/>
  <c r="H20" i="6"/>
  <c r="I20" i="6"/>
  <c r="J20" i="6"/>
  <c r="K20" i="6"/>
  <c r="M20" i="6"/>
  <c r="N20" i="6"/>
  <c r="O20" i="6"/>
  <c r="P20" i="6"/>
  <c r="Q16" i="6"/>
  <c r="Q15" i="6"/>
  <c r="Q14" i="6"/>
  <c r="Q12" i="6"/>
  <c r="Q11" i="6"/>
  <c r="Q18" i="6"/>
  <c r="Q17" i="6"/>
  <c r="Q13" i="6"/>
  <c r="Q10" i="6"/>
  <c r="Q8" i="6"/>
  <c r="Q7" i="6"/>
  <c r="Q6" i="6"/>
  <c r="J37" i="1"/>
  <c r="I37" i="1"/>
  <c r="K36" i="1"/>
  <c r="K35" i="1"/>
  <c r="K34" i="1"/>
  <c r="K33" i="1"/>
  <c r="K32" i="1"/>
  <c r="K31" i="1"/>
  <c r="K30" i="1"/>
  <c r="K29" i="1"/>
  <c r="K28" i="1"/>
  <c r="K27" i="1"/>
  <c r="K26" i="1"/>
  <c r="K25" i="1"/>
  <c r="K37" i="1" s="1"/>
  <c r="D37" i="1"/>
  <c r="C37" i="1"/>
  <c r="F20" i="5"/>
  <c r="E20" i="5"/>
  <c r="D20" i="5"/>
  <c r="C20" i="5"/>
  <c r="N33" i="4"/>
  <c r="M33" i="4"/>
  <c r="L33" i="4"/>
  <c r="K33" i="4"/>
  <c r="J33" i="4"/>
  <c r="I33" i="4"/>
  <c r="H33" i="4"/>
  <c r="G33" i="4"/>
  <c r="F33" i="4"/>
  <c r="E33" i="4"/>
  <c r="D33" i="4"/>
  <c r="O32" i="4"/>
  <c r="O31" i="4"/>
  <c r="O30" i="4"/>
  <c r="O29" i="4"/>
  <c r="O28" i="4"/>
  <c r="O27" i="4"/>
  <c r="O26" i="4"/>
  <c r="O25" i="4"/>
  <c r="O24" i="4"/>
  <c r="O23" i="4"/>
  <c r="O22" i="4"/>
  <c r="O21" i="4"/>
  <c r="N33" i="3"/>
  <c r="M33" i="3"/>
  <c r="L33" i="3"/>
  <c r="K33" i="3"/>
  <c r="J33" i="3"/>
  <c r="I33" i="3"/>
  <c r="H33" i="3"/>
  <c r="G33" i="3"/>
  <c r="F33" i="3"/>
  <c r="E33" i="3"/>
  <c r="D33" i="3"/>
  <c r="O32" i="3"/>
  <c r="O31" i="3"/>
  <c r="O30" i="3"/>
  <c r="O29" i="3"/>
  <c r="O28" i="3"/>
  <c r="O27" i="3"/>
  <c r="O26" i="3"/>
  <c r="O25" i="3"/>
  <c r="O24" i="3"/>
  <c r="O23" i="3"/>
  <c r="O22" i="3"/>
  <c r="O21" i="3"/>
  <c r="N30" i="2"/>
  <c r="M30" i="2"/>
  <c r="L30" i="2"/>
  <c r="K30" i="2"/>
  <c r="J30" i="2"/>
  <c r="I30" i="2"/>
  <c r="G30" i="2"/>
  <c r="F30" i="2"/>
  <c r="E30" i="2"/>
  <c r="D30" i="2"/>
  <c r="C30" i="2"/>
  <c r="O30" i="2" s="1"/>
  <c r="O29" i="2"/>
  <c r="O28" i="2"/>
  <c r="O27" i="2"/>
  <c r="O26" i="2"/>
  <c r="O25" i="2"/>
  <c r="O24" i="2"/>
  <c r="O23" i="2"/>
  <c r="O22" i="2"/>
  <c r="O21" i="2"/>
  <c r="O20" i="2"/>
  <c r="O19" i="2"/>
  <c r="O33" i="4" l="1"/>
  <c r="O33" i="3"/>
  <c r="P10" i="7"/>
  <c r="P16" i="7"/>
  <c r="AG52" i="6"/>
  <c r="AG37" i="6"/>
  <c r="P37" i="6"/>
  <c r="O37" i="6"/>
  <c r="N37" i="6"/>
  <c r="Q33" i="6"/>
  <c r="M37" i="6"/>
  <c r="L37" i="6"/>
  <c r="K37" i="6"/>
  <c r="J37" i="6"/>
  <c r="Q36" i="6"/>
  <c r="Q32" i="6"/>
  <c r="Q31" i="6"/>
  <c r="Q30" i="6"/>
  <c r="I37" i="6"/>
  <c r="Q35" i="6"/>
  <c r="Q34" i="6"/>
  <c r="H37" i="6"/>
  <c r="Q29" i="6"/>
  <c r="G37" i="6"/>
  <c r="F37" i="6"/>
  <c r="Q28" i="6"/>
  <c r="E37" i="6"/>
  <c r="C7" i="1"/>
  <c r="C9" i="1"/>
  <c r="C10" i="1"/>
  <c r="K7" i="1"/>
  <c r="K8" i="1"/>
  <c r="K9" i="1"/>
  <c r="K10" i="1"/>
  <c r="D16" i="1"/>
  <c r="O7" i="3"/>
  <c r="O8" i="4"/>
  <c r="Q37" i="6" l="1"/>
  <c r="K5" i="1"/>
  <c r="K6" i="1"/>
  <c r="K11" i="1"/>
  <c r="K12" i="1"/>
  <c r="K13" i="1"/>
  <c r="K14" i="1"/>
  <c r="K15" i="1"/>
  <c r="K4" i="1"/>
  <c r="N15" i="2"/>
  <c r="N17" i="4"/>
  <c r="K15" i="2"/>
  <c r="L15" i="2"/>
  <c r="M15" i="2"/>
  <c r="J15" i="2"/>
  <c r="E16" i="1"/>
  <c r="I15" i="2"/>
  <c r="H15" i="2"/>
  <c r="G15" i="2"/>
  <c r="E15" i="2"/>
  <c r="F15" i="2"/>
  <c r="O14" i="2"/>
  <c r="D15" i="2"/>
  <c r="C15" i="2"/>
  <c r="O8" i="3"/>
  <c r="O9" i="3"/>
  <c r="O10" i="3"/>
  <c r="O11" i="3"/>
  <c r="O12" i="3"/>
  <c r="O13" i="3"/>
  <c r="O14" i="3"/>
  <c r="O15" i="3"/>
  <c r="O6" i="4"/>
  <c r="O7" i="4"/>
  <c r="O9" i="4"/>
  <c r="O10" i="4"/>
  <c r="O11" i="4"/>
  <c r="O12" i="4"/>
  <c r="O13" i="4"/>
  <c r="O14" i="4"/>
  <c r="O15" i="4"/>
  <c r="O16" i="4"/>
  <c r="O5" i="4"/>
  <c r="N16" i="3"/>
  <c r="O6" i="3"/>
  <c r="O5" i="3"/>
  <c r="O4" i="3"/>
  <c r="O5" i="2"/>
  <c r="O6" i="2"/>
  <c r="O7" i="2"/>
  <c r="O8" i="2"/>
  <c r="O9" i="2"/>
  <c r="O10" i="2"/>
  <c r="O11" i="2"/>
  <c r="O12" i="2"/>
  <c r="O13" i="2"/>
  <c r="O4" i="2"/>
  <c r="O16" i="3" l="1"/>
  <c r="O17" i="4"/>
  <c r="C16" i="1"/>
  <c r="I16" i="1"/>
  <c r="J16" i="1"/>
  <c r="F17" i="4"/>
  <c r="F16" i="3"/>
  <c r="K16" i="1" l="1"/>
  <c r="E16" i="3" l="1"/>
  <c r="G16" i="3"/>
  <c r="H16" i="3"/>
  <c r="I16" i="3"/>
  <c r="J16" i="3"/>
  <c r="K16" i="3"/>
  <c r="L16" i="3"/>
  <c r="M16" i="3"/>
  <c r="D16" i="3"/>
  <c r="E17" i="4"/>
  <c r="G17" i="4"/>
  <c r="H17" i="4"/>
  <c r="I17" i="4"/>
  <c r="J17" i="4"/>
  <c r="K17" i="4"/>
  <c r="L17" i="4"/>
  <c r="M17" i="4"/>
  <c r="D17" i="4"/>
  <c r="E10" i="5"/>
  <c r="F10" i="5"/>
  <c r="D10" i="5"/>
  <c r="C10" i="5"/>
  <c r="O15" i="2"/>
</calcChain>
</file>

<file path=xl/sharedStrings.xml><?xml version="1.0" encoding="utf-8"?>
<sst xmlns="http://schemas.openxmlformats.org/spreadsheetml/2006/main" count="763" uniqueCount="126">
  <si>
    <t>Miesiąc</t>
  </si>
  <si>
    <t>Kwota netto (zł)</t>
  </si>
  <si>
    <t>Kwota brutto (zł)</t>
  </si>
  <si>
    <t xml:space="preserve">Styczeń </t>
  </si>
  <si>
    <t>Frakcja</t>
  </si>
  <si>
    <t>Styczeń</t>
  </si>
  <si>
    <t>Miasto Gołdap</t>
  </si>
  <si>
    <t>Luty</t>
  </si>
  <si>
    <t>Marzec</t>
  </si>
  <si>
    <t>Ilość [Mg]</t>
  </si>
  <si>
    <t>Kwiecień</t>
  </si>
  <si>
    <t>Maj</t>
  </si>
  <si>
    <t>Czerwiec</t>
  </si>
  <si>
    <t>Czewiec</t>
  </si>
  <si>
    <t>Lipiec</t>
  </si>
  <si>
    <t>Sierpień</t>
  </si>
  <si>
    <t>Wrzesień</t>
  </si>
  <si>
    <t>Październik</t>
  </si>
  <si>
    <t>Listopad</t>
  </si>
  <si>
    <t>Grudzień</t>
  </si>
  <si>
    <t>Razem:</t>
  </si>
  <si>
    <t xml:space="preserve">Razem (poszczególne frakcje): </t>
  </si>
  <si>
    <t>Odpady kuchenne ulegające biodegradacji [Mg]</t>
  </si>
  <si>
    <t>Metale i tworzywa (inne zbierane w sposób selektywny)[Mg]</t>
  </si>
  <si>
    <t>Odpady betonu oraz gruz [Mg]</t>
  </si>
  <si>
    <t>Niesegregowane (zmieszane) odpady komunalne [Mg]</t>
  </si>
  <si>
    <t>Odpady wielkogabarytowe [Mg]</t>
  </si>
  <si>
    <t>Zużyte urządzenia elektryczne i elektroniczne [Mg]</t>
  </si>
  <si>
    <t>Szkło [Mg]</t>
  </si>
  <si>
    <t>Papier i tektura [Mg]</t>
  </si>
  <si>
    <t>Zużyte opony [Mg]</t>
  </si>
  <si>
    <t>Razem (miesiąc) [Mg]</t>
  </si>
  <si>
    <t>Metale i tworzywa (inne zbierane w sposób selektywny) [Mg]</t>
  </si>
  <si>
    <t>Koszty zagospodarowania odpadów komunalnych z nieruchomości zamieszkałych na terenie Gminy Gołdap</t>
  </si>
  <si>
    <t>Koszty odbioru i transportu odpadów komunalnych z nieruchomości zamieszkałych na terenie Gminy Gołdap</t>
  </si>
  <si>
    <t xml:space="preserve">Razem (miesiąc) [Mg]: </t>
  </si>
  <si>
    <t xml:space="preserve">Razem (poszczególne frakcje) [Mg]: </t>
  </si>
  <si>
    <t xml:space="preserve">Teren wiejski </t>
  </si>
  <si>
    <t>Szkło [Mg] [15 01 07]</t>
  </si>
  <si>
    <t>Papier i tektura [Mg] [20 01 01]</t>
  </si>
  <si>
    <t>Odpady kuchenne ulegające biodegradacji [Mg] [20 01 08]</t>
  </si>
  <si>
    <t>Metale i tworzywa (inne zbierane w sposób selektywny) [Mg] [15 01 06]</t>
  </si>
  <si>
    <t>Niesegregowane (zmieszane) odpady komunalne [Mg] [20 03 01]</t>
  </si>
  <si>
    <t>Odpady wielkogabarytowe [Mg] [20 03 07]</t>
  </si>
  <si>
    <t>Zużyte urządzenia elektryczne i elektroniczne [Mg] [20 01 36]</t>
  </si>
  <si>
    <t>PUK s.c. (zł brutto)</t>
  </si>
  <si>
    <t>KOMA sp. z o.o.  (zł brutto)</t>
  </si>
  <si>
    <t>Razem  [zł brutto]</t>
  </si>
  <si>
    <t>Igły i strzykawki [kartony, kg]</t>
  </si>
  <si>
    <t>Ilość [kg]</t>
  </si>
  <si>
    <t>Popiół z palenisk domowych [EX]</t>
  </si>
  <si>
    <t>Popiół z gospodarstw domowych [EX]</t>
  </si>
  <si>
    <t>Tekstylia [Mg]</t>
  </si>
  <si>
    <t>Zużyte opony [Mg] [16 01 03]</t>
  </si>
  <si>
    <t>Popiół z palenisk domowych {EX-200199}</t>
  </si>
  <si>
    <t>Tekstylia [20 01 11]</t>
  </si>
  <si>
    <t>Odpady betonu oraz gruz  [Mg] [17 01 01]</t>
  </si>
  <si>
    <t xml:space="preserve">Popiół z palenisk domowych  {EX-200199] </t>
  </si>
  <si>
    <t>Odpady betonu oraz gruz [Mg] [17 01 01]</t>
  </si>
  <si>
    <t>Niesegregowane (zmieszane) odpady komunalne [Mg]  [20 03 01]</t>
  </si>
  <si>
    <t>Tekstylia [Mg][20 01 11]</t>
  </si>
  <si>
    <t>Rok 2026</t>
  </si>
  <si>
    <t>Rok 2025</t>
  </si>
  <si>
    <t>Opakowania z tworzyw sztucznych [15 01 02]</t>
  </si>
  <si>
    <t>Leki inne niż wymienione w 200131 [20 01 32]</t>
  </si>
  <si>
    <t>Metale [20 01 40]</t>
  </si>
  <si>
    <t>Zmieszane odpady z budowy, remontów i demontazu inne niż wymienione w 17 09 01, 17 09 02 i 17 09 03 [17 09 04]</t>
  </si>
  <si>
    <t xml:space="preserve"> Tworzywa sztuczne [20 01 39]</t>
  </si>
  <si>
    <t>Niesegregowane zmieszane odpady komunalne</t>
  </si>
  <si>
    <t>Razem [Mg]:</t>
  </si>
  <si>
    <t>Rok 2025 teren miejski</t>
  </si>
  <si>
    <t>Rok 2025 teren wiejski</t>
  </si>
  <si>
    <t>Ilości przyjętych odpadów komunalnych z nieruchomości zamieszkałych do PSZOK w Kośmidrach</t>
  </si>
  <si>
    <t>ROK 2026</t>
  </si>
  <si>
    <t>ROK 2025</t>
  </si>
  <si>
    <t>Odpady ulegające biodgradacji [20 02 01]</t>
  </si>
  <si>
    <t>Tworzywa sztuczne [20 01 39]</t>
  </si>
  <si>
    <t>Ilość odpadów przyjęta do zagospodarowania w ramach zbiórki MPSZOK</t>
  </si>
  <si>
    <t>Koszty zagospodarowania odpadów komunalnych przywozonych przez mieszkańców do PSZOK</t>
  </si>
  <si>
    <t>ROK 2026 Koszty zagospodarowania odpadów komunalnych przywozonych przez mieszkańców do MPSZOK</t>
  </si>
  <si>
    <t>od 01.01. do obecnie</t>
  </si>
  <si>
    <t>Ceny za zagospodarowanie 1 Mg odpadów w PGO EKO-Mazury Sp. z o.o. [zł brutto]</t>
  </si>
  <si>
    <t>od 15.02. do 31.12.2025</t>
  </si>
  <si>
    <t>brak w cenniku</t>
  </si>
  <si>
    <t>od 01.07.2024 do 14.02.2025</t>
  </si>
  <si>
    <t>III Kwartał 2025 r.</t>
  </si>
  <si>
    <t xml:space="preserve">Inne wydatki poniesione od stycznia do września 2025 r. </t>
  </si>
  <si>
    <t xml:space="preserve">Dział klasyfikacji </t>
  </si>
  <si>
    <t>2025 (do września 2025)</t>
  </si>
  <si>
    <t xml:space="preserve">składki członkowskie 2025: </t>
  </si>
  <si>
    <t>55  845,00</t>
  </si>
  <si>
    <t xml:space="preserve">Plan finansowy </t>
  </si>
  <si>
    <t>Wykonanie</t>
  </si>
  <si>
    <t>Monitoring składowisk 2025</t>
  </si>
  <si>
    <t>Wynagrodzenia osobowe pracowników</t>
  </si>
  <si>
    <t>Odbiór odpadów tekstylnych (kwiecień, czerwiec i wrzesień 2025)</t>
  </si>
  <si>
    <t xml:space="preserve">Składki na ubezpieczenia społeczne </t>
  </si>
  <si>
    <t>Koszenie składowisk</t>
  </si>
  <si>
    <t>Składki na fundusz pracy</t>
  </si>
  <si>
    <t>Usunięcie nielegalnego składowiska</t>
  </si>
  <si>
    <t>Dodatkowe wynagrodzenie roczne</t>
  </si>
  <si>
    <t>Wynagrodzenie bezosobowe</t>
  </si>
  <si>
    <t>Zakup usług pozostałych</t>
  </si>
  <si>
    <t>Rózne opłaty i składki</t>
  </si>
  <si>
    <t>2025 (do grudnia 2025)</t>
  </si>
  <si>
    <t xml:space="preserve">Repery pomiarowe </t>
  </si>
  <si>
    <t xml:space="preserve">IV kwartał </t>
  </si>
  <si>
    <t>Kwota brutto (zł) PSZOK, MPSZOK</t>
  </si>
  <si>
    <t>Kwota brutto (zł) PGO bezpośrednio</t>
  </si>
  <si>
    <t xml:space="preserve">Inne wydatki poniesione od grudnia 2025 do marca 2026 r. </t>
  </si>
  <si>
    <t>2026 (do marca 2026)</t>
  </si>
  <si>
    <t xml:space="preserve">składki członkowskie 2026: </t>
  </si>
  <si>
    <t>Monitoring składowisk 2026</t>
  </si>
  <si>
    <t>I kwartał</t>
  </si>
  <si>
    <t xml:space="preserve">Inne wydatki poniesione od grudnia 2025 do czerwca 2026 r. </t>
  </si>
  <si>
    <t>2026 (do czerwca 2026)</t>
  </si>
  <si>
    <t>II kwartał</t>
  </si>
  <si>
    <t>Plan finansowy i jego wykonanie</t>
  </si>
  <si>
    <t>Odbiór za 1 Mg odpadów z terenu miasta Gołdap</t>
  </si>
  <si>
    <t>rok 2025</t>
  </si>
  <si>
    <t>rok 2026</t>
  </si>
  <si>
    <t>Odbiór za 1 Mg odpadów z terenu wiejskiego gminy</t>
  </si>
  <si>
    <t>liczbę mieszkańców Gminy Gołdap stan na 31.12.2025 r.</t>
  </si>
  <si>
    <t>Koszty [w zł] zagospodarowania odpadów w 2025 r. w przeliczeniu na:</t>
  </si>
  <si>
    <t>Całkowity koszt [w zł] systemu w przeliczeniu na:</t>
  </si>
  <si>
    <t>liczbę mieszkańców wg złożonych deklaracji stan na 31.12.2025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</si>
</sst>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"/>
    <numFmt numFmtId="166" formatCode="#,##0.000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6C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3" fillId="0" borderId="0" xfId="0" applyFont="1"/>
    <xf numFmtId="0" fontId="2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4" borderId="1" xfId="0" applyFont="1" applyFill="1" applyBorder="1"/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5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7" borderId="1" xfId="0" applyFont="1" applyFill="1" applyBorder="1"/>
    <xf numFmtId="0" fontId="5" fillId="0" borderId="1" xfId="0" applyFont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" fontId="0" fillId="0" borderId="0" xfId="0" applyNumberForma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1" fillId="0" borderId="0" xfId="0" applyNumberFormat="1" applyFont="1"/>
    <xf numFmtId="4" fontId="0" fillId="0" borderId="0" xfId="0" applyNumberForma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8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horizontal="center"/>
    </xf>
    <xf numFmtId="2" fontId="0" fillId="8" borderId="1" xfId="0" applyNumberFormat="1" applyFill="1" applyBorder="1" applyAlignment="1">
      <alignment horizontal="center"/>
    </xf>
    <xf numFmtId="2" fontId="8" fillId="8" borderId="1" xfId="0" applyNumberFormat="1" applyFont="1" applyFill="1" applyBorder="1" applyAlignment="1">
      <alignment horizontal="center"/>
    </xf>
    <xf numFmtId="4" fontId="0" fillId="8" borderId="1" xfId="0" applyNumberFormat="1" applyFill="1" applyBorder="1" applyAlignment="1">
      <alignment horizontal="center" vertical="center"/>
    </xf>
    <xf numFmtId="4" fontId="0" fillId="8" borderId="0" xfId="0" applyNumberFormat="1" applyFill="1" applyAlignment="1">
      <alignment horizontal="center" vertical="center"/>
    </xf>
    <xf numFmtId="4" fontId="0" fillId="8" borderId="1" xfId="0" applyNumberFormat="1" applyFill="1" applyBorder="1" applyAlignment="1">
      <alignment horizontal="center"/>
    </xf>
    <xf numFmtId="2" fontId="9" fillId="8" borderId="1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1" fillId="0" borderId="0" xfId="0" applyFont="1"/>
    <xf numFmtId="165" fontId="1" fillId="0" borderId="1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/>
    </xf>
    <xf numFmtId="166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" fillId="9" borderId="1" xfId="0" applyFont="1" applyFill="1" applyBorder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wrapText="1"/>
    </xf>
    <xf numFmtId="4" fontId="0" fillId="9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/>
    <xf numFmtId="0" fontId="1" fillId="9" borderId="1" xfId="0" applyFont="1" applyFill="1" applyBorder="1"/>
    <xf numFmtId="4" fontId="1" fillId="9" borderId="1" xfId="0" applyNumberFormat="1" applyFont="1" applyFill="1" applyBorder="1" applyAlignment="1">
      <alignment horizontal="center"/>
    </xf>
    <xf numFmtId="4" fontId="0" fillId="0" borderId="1" xfId="0" applyNumberFormat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0" fillId="9" borderId="1" xfId="0" applyFill="1" applyBorder="1" applyAlignment="1">
      <alignment horizontal="left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2" fontId="0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2"/>
  <sheetViews>
    <sheetView tabSelected="1" topLeftCell="A19" workbookViewId="0">
      <selection activeCell="J46" sqref="J46"/>
    </sheetView>
  </sheetViews>
  <sheetFormatPr defaultRowHeight="15"/>
  <cols>
    <col min="2" max="2" width="13.140625" customWidth="1"/>
    <col min="3" max="3" width="15.85546875" customWidth="1"/>
    <col min="4" max="4" width="18.42578125" customWidth="1"/>
    <col min="5" max="5" width="16.7109375" customWidth="1"/>
    <col min="6" max="6" width="12.7109375" customWidth="1"/>
    <col min="7" max="7" width="18.85546875" customWidth="1"/>
    <col min="8" max="8" width="14.140625" customWidth="1"/>
    <col min="9" max="9" width="19.140625" customWidth="1"/>
    <col min="10" max="10" width="21.42578125" customWidth="1"/>
    <col min="11" max="11" width="15.7109375" customWidth="1"/>
    <col min="12" max="12" width="13" customWidth="1"/>
    <col min="17" max="17" width="14" customWidth="1"/>
    <col min="18" max="18" width="14.85546875" customWidth="1"/>
    <col min="19" max="19" width="16.5703125" customWidth="1"/>
    <col min="20" max="20" width="15" customWidth="1"/>
    <col min="26" max="26" width="19" customWidth="1"/>
    <col min="27" max="27" width="14.7109375" customWidth="1"/>
    <col min="28" max="28" width="13.5703125" customWidth="1"/>
    <col min="29" max="29" width="14.85546875" customWidth="1"/>
  </cols>
  <sheetData>
    <row r="1" spans="1:31" ht="28.5" customHeight="1">
      <c r="A1" t="s">
        <v>61</v>
      </c>
      <c r="B1" s="84" t="s">
        <v>33</v>
      </c>
      <c r="C1" s="84"/>
      <c r="D1" s="84"/>
      <c r="E1" s="84"/>
      <c r="G1" t="s">
        <v>61</v>
      </c>
      <c r="H1" s="85" t="s">
        <v>34</v>
      </c>
      <c r="I1" s="85"/>
      <c r="J1" s="85"/>
      <c r="K1" s="85"/>
      <c r="L1" s="85"/>
      <c r="M1" s="85"/>
      <c r="N1" s="85"/>
      <c r="P1" t="s">
        <v>61</v>
      </c>
      <c r="Q1" s="83" t="s">
        <v>78</v>
      </c>
      <c r="R1" s="83"/>
      <c r="S1" s="83"/>
      <c r="T1" s="83"/>
      <c r="U1" s="83"/>
      <c r="V1" s="83"/>
      <c r="W1" s="83"/>
      <c r="X1" s="83"/>
      <c r="Y1" s="83"/>
      <c r="Z1" s="83" t="s">
        <v>79</v>
      </c>
      <c r="AA1" s="83"/>
      <c r="AB1" s="83"/>
      <c r="AC1" s="83"/>
      <c r="AD1" s="83"/>
      <c r="AE1" s="83"/>
    </row>
    <row r="2" spans="1:31">
      <c r="H2" s="64"/>
      <c r="I2" s="64"/>
      <c r="J2" s="64"/>
      <c r="K2" s="36"/>
      <c r="L2" s="37"/>
    </row>
    <row r="3" spans="1:31" ht="37.5" customHeight="1">
      <c r="B3" s="30" t="s">
        <v>0</v>
      </c>
      <c r="C3" s="30" t="s">
        <v>1</v>
      </c>
      <c r="D3" s="33" t="s">
        <v>2</v>
      </c>
      <c r="E3" s="30" t="s">
        <v>9</v>
      </c>
      <c r="H3" s="30" t="s">
        <v>0</v>
      </c>
      <c r="I3" s="30" t="s">
        <v>45</v>
      </c>
      <c r="J3" s="33" t="s">
        <v>46</v>
      </c>
      <c r="K3" s="33" t="s">
        <v>47</v>
      </c>
      <c r="L3" s="35"/>
      <c r="Q3" s="60" t="s">
        <v>0</v>
      </c>
      <c r="R3" s="61" t="s">
        <v>1</v>
      </c>
      <c r="S3" s="61" t="s">
        <v>2</v>
      </c>
      <c r="T3" s="60" t="s">
        <v>9</v>
      </c>
      <c r="Z3" s="60" t="s">
        <v>0</v>
      </c>
      <c r="AA3" s="61" t="s">
        <v>1</v>
      </c>
      <c r="AB3" s="61" t="s">
        <v>2</v>
      </c>
      <c r="AC3" s="60" t="s">
        <v>9</v>
      </c>
    </row>
    <row r="4" spans="1:31">
      <c r="B4" s="11" t="s">
        <v>3</v>
      </c>
      <c r="C4" s="16">
        <v>151532.91</v>
      </c>
      <c r="D4" s="16">
        <v>163655.54</v>
      </c>
      <c r="E4" s="11">
        <v>369.32</v>
      </c>
      <c r="H4" s="11" t="s">
        <v>3</v>
      </c>
      <c r="I4" s="16">
        <v>126291.52</v>
      </c>
      <c r="J4" s="16">
        <v>89494.63</v>
      </c>
      <c r="K4" s="16">
        <f>I4+J4</f>
        <v>215786.15000000002</v>
      </c>
      <c r="L4" s="35"/>
      <c r="Q4" s="11" t="s">
        <v>3</v>
      </c>
      <c r="R4" s="16">
        <v>11017.33</v>
      </c>
      <c r="S4" s="16">
        <v>11898.72</v>
      </c>
      <c r="T4" s="62">
        <v>30.77</v>
      </c>
      <c r="Z4" s="11" t="s">
        <v>3</v>
      </c>
      <c r="AA4" s="16"/>
      <c r="AB4" s="16"/>
      <c r="AC4" s="62"/>
    </row>
    <row r="5" spans="1:31">
      <c r="B5" s="11" t="s">
        <v>7</v>
      </c>
      <c r="C5" s="16">
        <v>222633.01</v>
      </c>
      <c r="D5" s="16">
        <v>240443.66</v>
      </c>
      <c r="E5" s="10">
        <v>318.06</v>
      </c>
      <c r="H5" s="11" t="s">
        <v>7</v>
      </c>
      <c r="I5" s="16">
        <v>115304</v>
      </c>
      <c r="J5" s="16">
        <v>59229.120000000003</v>
      </c>
      <c r="K5" s="16">
        <f t="shared" ref="K5:K15" si="0">I5+J5</f>
        <v>174533.12</v>
      </c>
      <c r="L5" s="38"/>
      <c r="Q5" s="11" t="s">
        <v>7</v>
      </c>
      <c r="R5" s="16">
        <v>10521.24</v>
      </c>
      <c r="S5" s="16">
        <v>11362.94</v>
      </c>
      <c r="T5" s="62">
        <v>27.4</v>
      </c>
      <c r="Z5" s="11" t="s">
        <v>7</v>
      </c>
      <c r="AA5" s="16">
        <v>14.4</v>
      </c>
      <c r="AB5" s="16">
        <v>15.55</v>
      </c>
      <c r="AC5" s="62">
        <v>1.0999999999999999E-2</v>
      </c>
    </row>
    <row r="6" spans="1:31">
      <c r="B6" s="11" t="s">
        <v>8</v>
      </c>
      <c r="C6" s="16">
        <v>345432.72</v>
      </c>
      <c r="D6" s="16">
        <v>373067.34</v>
      </c>
      <c r="E6" s="10">
        <v>453.72</v>
      </c>
      <c r="H6" s="11" t="s">
        <v>8</v>
      </c>
      <c r="I6" s="16">
        <v>157880.64000000001</v>
      </c>
      <c r="J6" s="51">
        <v>93559.69</v>
      </c>
      <c r="K6" s="16">
        <f t="shared" si="0"/>
        <v>251440.33000000002</v>
      </c>
      <c r="Q6" s="11" t="s">
        <v>8</v>
      </c>
      <c r="R6" s="16">
        <v>58439.44</v>
      </c>
      <c r="S6" s="16">
        <v>63114.59</v>
      </c>
      <c r="T6" s="62">
        <v>113.13</v>
      </c>
      <c r="Z6" s="11" t="s">
        <v>8</v>
      </c>
      <c r="AA6" s="16"/>
      <c r="AB6" s="16"/>
      <c r="AC6" s="62"/>
    </row>
    <row r="7" spans="1:31">
      <c r="B7" s="11" t="s">
        <v>10</v>
      </c>
      <c r="C7" s="16">
        <f>D7/1.08</f>
        <v>272330.73148148146</v>
      </c>
      <c r="D7" s="16">
        <v>294117.19</v>
      </c>
      <c r="E7" s="11">
        <v>397.44</v>
      </c>
      <c r="H7" s="11" t="s">
        <v>10</v>
      </c>
      <c r="I7" s="51">
        <v>140267.20000000001</v>
      </c>
      <c r="J7" s="51">
        <v>76960.649999999994</v>
      </c>
      <c r="K7" s="16">
        <f t="shared" si="0"/>
        <v>217227.85</v>
      </c>
      <c r="Q7" s="11" t="s">
        <v>10</v>
      </c>
      <c r="R7" s="16">
        <v>71533.06</v>
      </c>
      <c r="S7" s="16">
        <v>77255.710000000006</v>
      </c>
      <c r="T7" s="62">
        <v>134.05000000000001</v>
      </c>
      <c r="Z7" s="11" t="s">
        <v>10</v>
      </c>
      <c r="AA7" s="16">
        <v>661.49</v>
      </c>
      <c r="AB7" s="16">
        <v>714.4</v>
      </c>
      <c r="AC7" s="62">
        <v>0.54300000000000004</v>
      </c>
    </row>
    <row r="8" spans="1:31" ht="30.75" customHeight="1">
      <c r="B8" s="11" t="s">
        <v>11</v>
      </c>
      <c r="C8" s="16">
        <v>241642.41</v>
      </c>
      <c r="D8" s="16">
        <v>260973.81</v>
      </c>
      <c r="E8" s="11">
        <v>350.5</v>
      </c>
      <c r="H8" s="11" t="s">
        <v>11</v>
      </c>
      <c r="I8" s="51">
        <v>125892.48</v>
      </c>
      <c r="J8" s="51">
        <v>64050.29</v>
      </c>
      <c r="K8" s="16">
        <f t="shared" si="0"/>
        <v>189942.77</v>
      </c>
      <c r="Q8" s="11" t="s">
        <v>11</v>
      </c>
      <c r="R8" s="16">
        <v>58599.6</v>
      </c>
      <c r="S8" s="16">
        <v>63287.55</v>
      </c>
      <c r="T8" s="62">
        <v>109.57</v>
      </c>
      <c r="Z8" s="11" t="s">
        <v>11</v>
      </c>
      <c r="AA8" s="16">
        <v>523.79</v>
      </c>
      <c r="AB8" s="16">
        <v>565.70000000000005</v>
      </c>
      <c r="AC8" s="62">
        <v>0.40799999999999997</v>
      </c>
    </row>
    <row r="9" spans="1:31">
      <c r="B9" s="11" t="s">
        <v>12</v>
      </c>
      <c r="C9" s="16">
        <f>D9/1.08</f>
        <v>320487.58333333331</v>
      </c>
      <c r="D9" s="16">
        <v>346126.59</v>
      </c>
      <c r="E9" s="11">
        <v>425.14</v>
      </c>
      <c r="H9" s="11" t="s">
        <v>12</v>
      </c>
      <c r="I9" s="51">
        <v>144192.64000000001</v>
      </c>
      <c r="J9" s="51">
        <v>92524.27</v>
      </c>
      <c r="K9" s="16">
        <f t="shared" si="0"/>
        <v>236716.91000000003</v>
      </c>
      <c r="Q9" s="11" t="s">
        <v>12</v>
      </c>
      <c r="R9" s="16">
        <f>S9/1.08</f>
        <v>62534.287037037029</v>
      </c>
      <c r="S9" s="16">
        <v>67537.03</v>
      </c>
      <c r="T9" s="62">
        <v>137.82</v>
      </c>
      <c r="Z9" s="11" t="s">
        <v>12</v>
      </c>
      <c r="AA9" s="16"/>
      <c r="AB9" s="16"/>
      <c r="AC9" s="62"/>
    </row>
    <row r="10" spans="1:31">
      <c r="B10" s="11" t="s">
        <v>14</v>
      </c>
      <c r="C10" s="16">
        <f>D10/1.08</f>
        <v>293556.46296296292</v>
      </c>
      <c r="D10" s="16">
        <v>317040.98</v>
      </c>
      <c r="E10" s="11">
        <v>418.96</v>
      </c>
      <c r="H10" s="11" t="s">
        <v>14</v>
      </c>
      <c r="I10" s="51">
        <v>148758.39999999999</v>
      </c>
      <c r="J10" s="51">
        <v>79565.37</v>
      </c>
      <c r="K10" s="16">
        <f t="shared" si="0"/>
        <v>228323.77</v>
      </c>
      <c r="Q10" s="11" t="s">
        <v>14</v>
      </c>
      <c r="R10" s="16">
        <v>67772.070000000007</v>
      </c>
      <c r="S10" s="16">
        <v>73193.83</v>
      </c>
      <c r="T10" s="62">
        <v>133.22</v>
      </c>
      <c r="Z10" s="11" t="s">
        <v>14</v>
      </c>
      <c r="AA10" s="16"/>
      <c r="AB10" s="16"/>
      <c r="AC10" s="62"/>
    </row>
    <row r="11" spans="1:31">
      <c r="B11" s="11" t="s">
        <v>15</v>
      </c>
      <c r="C11" s="16">
        <v>302474.12</v>
      </c>
      <c r="D11" s="16">
        <v>326672.05</v>
      </c>
      <c r="E11" s="23">
        <v>425.07</v>
      </c>
      <c r="H11" s="11" t="s">
        <v>15</v>
      </c>
      <c r="I11" s="16">
        <v>152465.76</v>
      </c>
      <c r="J11" s="39">
        <v>78044.600000000006</v>
      </c>
      <c r="K11" s="16">
        <f t="shared" si="0"/>
        <v>230510.36000000002</v>
      </c>
      <c r="Q11" s="11" t="s">
        <v>15</v>
      </c>
      <c r="R11" s="16">
        <v>71650.960000000006</v>
      </c>
      <c r="S11" s="16">
        <v>77383.039999999994</v>
      </c>
      <c r="T11" s="31">
        <v>152.447</v>
      </c>
      <c r="Z11" s="11" t="s">
        <v>15</v>
      </c>
      <c r="AA11" s="16"/>
      <c r="AB11" s="16"/>
      <c r="AC11" s="31"/>
    </row>
    <row r="12" spans="1:31">
      <c r="B12" s="11" t="s">
        <v>16</v>
      </c>
      <c r="C12" s="16"/>
      <c r="D12" s="16"/>
      <c r="E12" s="10"/>
      <c r="H12" s="11" t="s">
        <v>16</v>
      </c>
      <c r="I12" s="16"/>
      <c r="J12" s="16"/>
      <c r="K12" s="16">
        <f t="shared" si="0"/>
        <v>0</v>
      </c>
      <c r="Q12" s="11" t="s">
        <v>16</v>
      </c>
      <c r="R12" s="16"/>
      <c r="S12" s="16"/>
      <c r="T12" s="10"/>
      <c r="Z12" s="11" t="s">
        <v>16</v>
      </c>
      <c r="AA12" s="16"/>
      <c r="AB12" s="16"/>
      <c r="AC12" s="10"/>
    </row>
    <row r="13" spans="1:31">
      <c r="B13" s="11" t="s">
        <v>17</v>
      </c>
      <c r="C13" s="16"/>
      <c r="D13" s="16"/>
      <c r="E13" s="11"/>
      <c r="H13" s="11" t="s">
        <v>17</v>
      </c>
      <c r="I13" s="16"/>
      <c r="J13" s="39"/>
      <c r="K13" s="16">
        <f t="shared" si="0"/>
        <v>0</v>
      </c>
      <c r="Q13" s="11" t="s">
        <v>17</v>
      </c>
      <c r="R13" s="16"/>
      <c r="S13" s="16"/>
      <c r="T13" s="11"/>
      <c r="Z13" s="11" t="s">
        <v>17</v>
      </c>
      <c r="AA13" s="16"/>
      <c r="AB13" s="16"/>
      <c r="AC13" s="11"/>
    </row>
    <row r="14" spans="1:31">
      <c r="B14" s="11" t="s">
        <v>18</v>
      </c>
      <c r="C14" s="39"/>
      <c r="D14" s="16"/>
      <c r="E14" s="11"/>
      <c r="H14" s="11" t="s">
        <v>18</v>
      </c>
      <c r="I14" s="39"/>
      <c r="J14" s="16"/>
      <c r="K14" s="16">
        <f t="shared" si="0"/>
        <v>0</v>
      </c>
      <c r="Q14" s="11" t="s">
        <v>18</v>
      </c>
      <c r="R14" s="39"/>
      <c r="S14" s="16"/>
      <c r="T14" s="11"/>
      <c r="Z14" s="11" t="s">
        <v>18</v>
      </c>
      <c r="AA14" s="39"/>
      <c r="AB14" s="16"/>
      <c r="AC14" s="11"/>
    </row>
    <row r="15" spans="1:31">
      <c r="B15" s="11" t="s">
        <v>19</v>
      </c>
      <c r="C15" s="16"/>
      <c r="D15" s="16"/>
      <c r="E15" s="11"/>
      <c r="H15" s="11" t="s">
        <v>19</v>
      </c>
      <c r="I15" s="16"/>
      <c r="J15" s="16"/>
      <c r="K15" s="16">
        <f t="shared" si="0"/>
        <v>0</v>
      </c>
      <c r="Q15" s="11" t="s">
        <v>19</v>
      </c>
      <c r="R15" s="16"/>
      <c r="S15" s="16"/>
      <c r="T15" s="11"/>
      <c r="Z15" s="11" t="s">
        <v>19</v>
      </c>
      <c r="AA15" s="16"/>
      <c r="AB15" s="16"/>
      <c r="AC15" s="11"/>
    </row>
    <row r="16" spans="1:31">
      <c r="B16" s="2" t="s">
        <v>20</v>
      </c>
      <c r="C16" s="32">
        <f>SUM(C4:C15)</f>
        <v>2150089.9477777774</v>
      </c>
      <c r="D16" s="32">
        <f>SUM(D4:D15)</f>
        <v>2322097.16</v>
      </c>
      <c r="E16" s="32">
        <f>SUM(E4:E11)</f>
        <v>3158.21</v>
      </c>
      <c r="H16" s="2" t="s">
        <v>20</v>
      </c>
      <c r="I16" s="32">
        <f>SUM(I4:I15)</f>
        <v>1111052.6400000001</v>
      </c>
      <c r="J16" s="32">
        <f>SUM(J4:J15)</f>
        <v>633428.62</v>
      </c>
      <c r="K16" s="32">
        <f>SUM(K4:K15)</f>
        <v>1744481.26</v>
      </c>
      <c r="Q16" s="2" t="s">
        <v>20</v>
      </c>
      <c r="R16" s="32">
        <f>SUM(R4:R15)</f>
        <v>412067.98703703709</v>
      </c>
      <c r="S16" s="32">
        <f>SUM(S4:S15)</f>
        <v>445033.41000000003</v>
      </c>
      <c r="T16" s="32">
        <f>SUM(T4:T11)</f>
        <v>838.40700000000004</v>
      </c>
      <c r="Z16" s="2" t="s">
        <v>20</v>
      </c>
      <c r="AA16" s="32">
        <f>SUM(AA4:AA15)</f>
        <v>1199.6799999999998</v>
      </c>
      <c r="AB16" s="32">
        <f>SUM(AB4:AB15)</f>
        <v>1295.6500000000001</v>
      </c>
      <c r="AC16" s="63">
        <f>SUM(AC4:AC11)</f>
        <v>0.96199999999999997</v>
      </c>
    </row>
    <row r="17" spans="1:11">
      <c r="D17" s="35"/>
    </row>
    <row r="18" spans="1:11">
      <c r="D18" s="35"/>
    </row>
    <row r="20" spans="1:11" ht="15" customHeight="1">
      <c r="C20" s="35"/>
    </row>
    <row r="22" spans="1:11" ht="27.75" customHeight="1">
      <c r="A22" t="s">
        <v>62</v>
      </c>
      <c r="B22" s="84" t="s">
        <v>33</v>
      </c>
      <c r="C22" s="84"/>
      <c r="D22" s="84"/>
      <c r="E22" s="84"/>
      <c r="G22" t="s">
        <v>62</v>
      </c>
      <c r="I22" s="35"/>
      <c r="J22" s="35"/>
    </row>
    <row r="24" spans="1:11" ht="31.5">
      <c r="B24" s="30" t="s">
        <v>0</v>
      </c>
      <c r="C24" s="30" t="s">
        <v>1</v>
      </c>
      <c r="D24" s="33" t="s">
        <v>2</v>
      </c>
      <c r="E24" s="30" t="s">
        <v>9</v>
      </c>
      <c r="H24" s="30" t="s">
        <v>0</v>
      </c>
      <c r="I24" s="30" t="s">
        <v>45</v>
      </c>
      <c r="J24" s="33" t="s">
        <v>46</v>
      </c>
      <c r="K24" s="33" t="s">
        <v>47</v>
      </c>
    </row>
    <row r="25" spans="1:11">
      <c r="B25" s="11" t="s">
        <v>3</v>
      </c>
      <c r="C25" s="16">
        <v>151532.91</v>
      </c>
      <c r="D25" s="16">
        <v>163655.54</v>
      </c>
      <c r="E25" s="11">
        <v>353.22</v>
      </c>
      <c r="H25" s="11" t="s">
        <v>3</v>
      </c>
      <c r="I25" s="16">
        <v>143180.35</v>
      </c>
      <c r="J25" s="16">
        <v>74542.789999999994</v>
      </c>
      <c r="K25" s="16">
        <f t="shared" ref="K25:K36" si="1">I25+J25</f>
        <v>217723.14</v>
      </c>
    </row>
    <row r="26" spans="1:11">
      <c r="B26" s="11" t="s">
        <v>7</v>
      </c>
      <c r="C26" s="16">
        <v>147634.93</v>
      </c>
      <c r="D26" s="16">
        <v>159445.72</v>
      </c>
      <c r="E26" s="10">
        <v>293.44</v>
      </c>
      <c r="H26" s="11" t="s">
        <v>7</v>
      </c>
      <c r="I26" s="16">
        <v>118477.3</v>
      </c>
      <c r="J26" s="16">
        <v>66552.84</v>
      </c>
      <c r="K26" s="16">
        <f t="shared" si="1"/>
        <v>185030.14</v>
      </c>
    </row>
    <row r="27" spans="1:11">
      <c r="B27" s="11" t="s">
        <v>8</v>
      </c>
      <c r="C27" s="16">
        <v>204807.54</v>
      </c>
      <c r="D27" s="16">
        <v>221192.15</v>
      </c>
      <c r="E27" s="10">
        <v>354.18</v>
      </c>
      <c r="H27" s="11" t="s">
        <v>8</v>
      </c>
      <c r="I27" s="16">
        <v>141021.22</v>
      </c>
      <c r="J27" s="16">
        <v>79899.48</v>
      </c>
      <c r="K27" s="16">
        <f t="shared" si="1"/>
        <v>220920.7</v>
      </c>
    </row>
    <row r="28" spans="1:11">
      <c r="B28" s="11" t="s">
        <v>10</v>
      </c>
      <c r="C28" s="16">
        <v>210880.98</v>
      </c>
      <c r="D28" s="16">
        <v>227751.46</v>
      </c>
      <c r="E28" s="11">
        <v>382.4</v>
      </c>
      <c r="H28" s="11" t="s">
        <v>10</v>
      </c>
      <c r="I28" s="31">
        <v>153404.5</v>
      </c>
      <c r="J28" s="39">
        <v>78149.990000000005</v>
      </c>
      <c r="K28" s="16">
        <f t="shared" si="1"/>
        <v>231554.49</v>
      </c>
    </row>
    <row r="29" spans="1:11">
      <c r="B29" s="11" t="s">
        <v>11</v>
      </c>
      <c r="C29" s="16">
        <v>189753.5</v>
      </c>
      <c r="D29" s="16">
        <v>204933.77</v>
      </c>
      <c r="E29" s="11">
        <v>346.22</v>
      </c>
      <c r="H29" s="11" t="s">
        <v>11</v>
      </c>
      <c r="I29" s="16">
        <v>140798.95000000001</v>
      </c>
      <c r="J29" s="16">
        <v>67977.679999999993</v>
      </c>
      <c r="K29" s="16">
        <f t="shared" si="1"/>
        <v>208776.63</v>
      </c>
    </row>
    <row r="30" spans="1:11">
      <c r="B30" s="11" t="s">
        <v>12</v>
      </c>
      <c r="C30" s="16">
        <v>229792.42</v>
      </c>
      <c r="D30" s="16">
        <v>248175.81</v>
      </c>
      <c r="E30" s="11">
        <v>384.64</v>
      </c>
      <c r="H30" s="11" t="s">
        <v>12</v>
      </c>
      <c r="I30" s="16">
        <v>155480.54</v>
      </c>
      <c r="J30" s="16">
        <v>79376.44</v>
      </c>
      <c r="K30" s="16">
        <f t="shared" si="1"/>
        <v>234856.98</v>
      </c>
    </row>
    <row r="31" spans="1:11">
      <c r="B31" s="11" t="s">
        <v>14</v>
      </c>
      <c r="C31" s="16">
        <v>202917.66</v>
      </c>
      <c r="D31" s="16">
        <v>219151.07</v>
      </c>
      <c r="E31" s="11">
        <v>372.06</v>
      </c>
      <c r="H31" s="11" t="s">
        <v>14</v>
      </c>
      <c r="I31" s="16">
        <v>152790.62</v>
      </c>
      <c r="J31" s="16">
        <v>75156.009999999995</v>
      </c>
      <c r="K31" s="16">
        <f t="shared" si="1"/>
        <v>227946.63</v>
      </c>
    </row>
    <row r="32" spans="1:11">
      <c r="B32" s="11" t="s">
        <v>15</v>
      </c>
      <c r="C32" s="16">
        <v>209014.88</v>
      </c>
      <c r="D32" s="16">
        <v>225736.07</v>
      </c>
      <c r="E32" s="11">
        <v>377.66</v>
      </c>
      <c r="H32" s="11" t="s">
        <v>15</v>
      </c>
      <c r="I32" s="16">
        <v>151615.79999999999</v>
      </c>
      <c r="J32" s="16">
        <v>82208.899999999994</v>
      </c>
      <c r="K32" s="16">
        <f t="shared" si="1"/>
        <v>233824.69999999998</v>
      </c>
    </row>
    <row r="33" spans="2:11">
      <c r="B33" s="11" t="s">
        <v>16</v>
      </c>
      <c r="C33" s="16">
        <v>257161.38</v>
      </c>
      <c r="D33" s="16">
        <v>277734.28999999998</v>
      </c>
      <c r="E33" s="97">
        <v>425.58</v>
      </c>
      <c r="H33" s="11" t="s">
        <v>16</v>
      </c>
      <c r="I33" s="16">
        <v>157564.01</v>
      </c>
      <c r="J33" s="16">
        <v>95482.58</v>
      </c>
      <c r="K33" s="16">
        <f t="shared" si="1"/>
        <v>253046.59000000003</v>
      </c>
    </row>
    <row r="34" spans="2:11">
      <c r="B34" s="11" t="s">
        <v>17</v>
      </c>
      <c r="C34" s="16">
        <v>212421.26</v>
      </c>
      <c r="D34" s="16">
        <v>229414.96</v>
      </c>
      <c r="E34" s="11">
        <v>382.66</v>
      </c>
      <c r="H34" s="11" t="s">
        <v>17</v>
      </c>
      <c r="I34" s="16">
        <v>159447.96</v>
      </c>
      <c r="J34" s="39">
        <v>73370.45</v>
      </c>
      <c r="K34" s="16">
        <f t="shared" si="1"/>
        <v>232818.40999999997</v>
      </c>
    </row>
    <row r="35" spans="2:11">
      <c r="B35" s="11" t="s">
        <v>18</v>
      </c>
      <c r="C35" s="39">
        <v>165480.18</v>
      </c>
      <c r="D35" s="16">
        <v>178718.59</v>
      </c>
      <c r="E35" s="11">
        <v>306.38</v>
      </c>
      <c r="H35" s="11" t="s">
        <v>18</v>
      </c>
      <c r="I35" s="39">
        <v>125939.02</v>
      </c>
      <c r="J35" s="16">
        <v>61683.12</v>
      </c>
      <c r="K35" s="16">
        <f t="shared" si="1"/>
        <v>187622.14</v>
      </c>
    </row>
    <row r="36" spans="2:11">
      <c r="B36" s="11" t="s">
        <v>19</v>
      </c>
      <c r="C36" s="16">
        <v>247458.56</v>
      </c>
      <c r="D36" s="16">
        <v>267255.25</v>
      </c>
      <c r="E36" s="11">
        <v>412.13</v>
      </c>
      <c r="H36" s="11" t="s">
        <v>19</v>
      </c>
      <c r="I36" s="16">
        <v>160876.79999999999</v>
      </c>
      <c r="J36" s="16">
        <v>89494.63</v>
      </c>
      <c r="K36" s="16">
        <f t="shared" si="1"/>
        <v>250371.43</v>
      </c>
    </row>
    <row r="37" spans="2:11">
      <c r="B37" s="2" t="s">
        <v>20</v>
      </c>
      <c r="C37" s="32">
        <f>SUM(C25:C36)</f>
        <v>2428856.1999999997</v>
      </c>
      <c r="D37" s="32">
        <f>SUM(D25:D36)</f>
        <v>2623164.6800000002</v>
      </c>
      <c r="E37" s="32">
        <f>SUM(E25:E36)</f>
        <v>4390.57</v>
      </c>
      <c r="H37" s="2" t="s">
        <v>20</v>
      </c>
      <c r="I37" s="32">
        <f>SUM(I25:I36)</f>
        <v>1760597.07</v>
      </c>
      <c r="J37" s="32">
        <f>SUM(J25:J36)</f>
        <v>923894.90999999992</v>
      </c>
      <c r="K37" s="32">
        <f>SUM(K25:K36)</f>
        <v>2684491.9800000004</v>
      </c>
    </row>
    <row r="40" spans="2:11" ht="78" customHeight="1">
      <c r="F40" s="82" t="s">
        <v>125</v>
      </c>
      <c r="G40" s="82" t="s">
        <v>122</v>
      </c>
    </row>
    <row r="41" spans="2:11">
      <c r="B41" t="s">
        <v>123</v>
      </c>
      <c r="F41" s="81">
        <f>D37/15001</f>
        <v>174.86598760082663</v>
      </c>
      <c r="G41" s="81">
        <f>D37/18211</f>
        <v>144.04286859590357</v>
      </c>
    </row>
    <row r="42" spans="2:11">
      <c r="B42" t="s">
        <v>124</v>
      </c>
      <c r="F42" s="81">
        <f>5629962.56/15001</f>
        <v>375.30581694553695</v>
      </c>
      <c r="G42" s="81">
        <f>5629962.56/18211</f>
        <v>309.15175223765851</v>
      </c>
    </row>
  </sheetData>
  <mergeCells count="5">
    <mergeCell ref="Q1:Y1"/>
    <mergeCell ref="Z1:AE1"/>
    <mergeCell ref="B22:E22"/>
    <mergeCell ref="B1:E1"/>
    <mergeCell ref="H1:N1"/>
  </mergeCells>
  <pageMargins left="0.7" right="0.7" top="0.75" bottom="0.75" header="0.3" footer="0.3"/>
  <pageSetup paperSize="9"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O30"/>
  <sheetViews>
    <sheetView topLeftCell="A7" zoomScale="82" zoomScaleNormal="82" workbookViewId="0">
      <selection activeCell="K30" sqref="K30"/>
    </sheetView>
  </sheetViews>
  <sheetFormatPr defaultRowHeight="15"/>
  <cols>
    <col min="2" max="2" width="38.140625" customWidth="1"/>
    <col min="3" max="3" width="12.140625" customWidth="1"/>
    <col min="4" max="4" width="9.28515625" customWidth="1"/>
    <col min="8" max="9" width="9.140625" customWidth="1"/>
    <col min="12" max="12" width="11.140625" customWidth="1"/>
    <col min="13" max="13" width="11.5703125" customWidth="1"/>
    <col min="14" max="14" width="13.5703125" customWidth="1"/>
    <col min="15" max="15" width="15.140625" customWidth="1"/>
  </cols>
  <sheetData>
    <row r="2" spans="2:15">
      <c r="B2" t="s">
        <v>61</v>
      </c>
    </row>
    <row r="3" spans="2:15" ht="45">
      <c r="B3" s="2" t="s">
        <v>4</v>
      </c>
      <c r="C3" s="2" t="s">
        <v>5</v>
      </c>
      <c r="D3" s="2" t="s">
        <v>7</v>
      </c>
      <c r="E3" s="2" t="s">
        <v>8</v>
      </c>
      <c r="F3" s="2" t="s">
        <v>10</v>
      </c>
      <c r="G3" s="2" t="s">
        <v>11</v>
      </c>
      <c r="H3" s="2" t="s">
        <v>12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34" t="s">
        <v>36</v>
      </c>
    </row>
    <row r="4" spans="2:15">
      <c r="B4" s="22" t="s">
        <v>38</v>
      </c>
      <c r="C4" s="23">
        <v>26.94</v>
      </c>
      <c r="D4" s="23">
        <v>13.58</v>
      </c>
      <c r="E4" s="23">
        <v>20.2</v>
      </c>
      <c r="F4" s="23">
        <v>29.5</v>
      </c>
      <c r="G4" s="23">
        <v>21.3</v>
      </c>
      <c r="H4" s="23">
        <v>21.44</v>
      </c>
      <c r="I4" s="23">
        <v>24.9</v>
      </c>
      <c r="J4" s="23">
        <v>24.58</v>
      </c>
      <c r="K4" s="23"/>
      <c r="L4" s="23"/>
      <c r="M4" s="23"/>
      <c r="N4" s="23"/>
      <c r="O4" s="14">
        <f>SUM(C4:N4)</f>
        <v>182.44</v>
      </c>
    </row>
    <row r="5" spans="2:15">
      <c r="B5" s="24" t="s">
        <v>53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/>
      <c r="L5" s="23"/>
      <c r="M5" s="23"/>
      <c r="N5" s="23"/>
      <c r="O5" s="14">
        <f t="shared" ref="O5:O14" si="0">SUM(C5:N5)</f>
        <v>0</v>
      </c>
    </row>
    <row r="6" spans="2:15">
      <c r="B6" s="24" t="s">
        <v>56</v>
      </c>
      <c r="C6" s="23">
        <v>0</v>
      </c>
      <c r="D6" s="23">
        <v>0</v>
      </c>
      <c r="E6" s="23">
        <v>0</v>
      </c>
      <c r="F6" s="23">
        <v>0</v>
      </c>
      <c r="G6" s="23">
        <v>1.8</v>
      </c>
      <c r="H6" s="23">
        <v>0</v>
      </c>
      <c r="I6" s="23">
        <v>0</v>
      </c>
      <c r="J6" s="23">
        <v>0</v>
      </c>
      <c r="K6" s="23"/>
      <c r="L6" s="23"/>
      <c r="M6" s="23"/>
      <c r="N6" s="23"/>
      <c r="O6" s="14">
        <f t="shared" si="0"/>
        <v>1.8</v>
      </c>
    </row>
    <row r="7" spans="2:15">
      <c r="B7" s="25" t="s">
        <v>39</v>
      </c>
      <c r="C7" s="23">
        <v>25.14</v>
      </c>
      <c r="D7" s="23">
        <v>18.22</v>
      </c>
      <c r="E7" s="23">
        <v>16.98</v>
      </c>
      <c r="F7" s="23">
        <v>27.28</v>
      </c>
      <c r="G7" s="23">
        <v>20.239999999999998</v>
      </c>
      <c r="H7" s="23">
        <v>27.28</v>
      </c>
      <c r="I7" s="23">
        <v>30.96</v>
      </c>
      <c r="J7" s="23">
        <v>26.1</v>
      </c>
      <c r="K7" s="23"/>
      <c r="L7" s="23"/>
      <c r="M7" s="23"/>
      <c r="N7" s="23"/>
      <c r="O7" s="14">
        <f t="shared" si="0"/>
        <v>192.2</v>
      </c>
    </row>
    <row r="8" spans="2:15" ht="30">
      <c r="B8" s="26" t="s">
        <v>40</v>
      </c>
      <c r="C8" s="23">
        <v>13.98</v>
      </c>
      <c r="D8" s="23">
        <v>22.32</v>
      </c>
      <c r="E8" s="23">
        <v>35.659999999999997</v>
      </c>
      <c r="F8" s="23">
        <v>29.4</v>
      </c>
      <c r="G8" s="23">
        <v>35.6</v>
      </c>
      <c r="H8" s="23">
        <v>36.82</v>
      </c>
      <c r="I8" s="23">
        <v>40.619999999999997</v>
      </c>
      <c r="J8" s="23">
        <v>41.24</v>
      </c>
      <c r="K8" s="23"/>
      <c r="L8" s="23"/>
      <c r="M8" s="23"/>
      <c r="N8" s="23"/>
      <c r="O8" s="14">
        <f t="shared" si="0"/>
        <v>255.64</v>
      </c>
    </row>
    <row r="9" spans="2:15" ht="30">
      <c r="B9" s="13" t="s">
        <v>44</v>
      </c>
      <c r="C9" s="23">
        <v>0</v>
      </c>
      <c r="D9" s="23">
        <v>0</v>
      </c>
      <c r="E9" s="23">
        <v>0.1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/>
      <c r="L9" s="23"/>
      <c r="M9" s="23"/>
      <c r="N9" s="23"/>
      <c r="O9" s="14">
        <f t="shared" si="0"/>
        <v>0.1</v>
      </c>
    </row>
    <row r="10" spans="2:15">
      <c r="B10" s="27" t="s">
        <v>54</v>
      </c>
      <c r="C10" s="41">
        <v>32.9</v>
      </c>
      <c r="D10" s="23">
        <v>38.299999999999997</v>
      </c>
      <c r="E10" s="23">
        <v>28.06</v>
      </c>
      <c r="F10" s="23">
        <v>22.44</v>
      </c>
      <c r="G10" s="23">
        <v>8.66</v>
      </c>
      <c r="H10" s="23">
        <v>6.54</v>
      </c>
      <c r="I10" s="23">
        <v>4.04</v>
      </c>
      <c r="J10" s="23">
        <v>5.42</v>
      </c>
      <c r="K10" s="23"/>
      <c r="L10" s="23"/>
      <c r="M10" s="23"/>
      <c r="N10" s="23"/>
      <c r="O10" s="14">
        <f t="shared" si="0"/>
        <v>146.35999999999996</v>
      </c>
    </row>
    <row r="11" spans="2:15" ht="30">
      <c r="B11" s="28" t="s">
        <v>42</v>
      </c>
      <c r="C11" s="23">
        <v>197.7</v>
      </c>
      <c r="D11" s="23">
        <v>169.96</v>
      </c>
      <c r="E11" s="23">
        <v>222.7</v>
      </c>
      <c r="F11" s="23">
        <v>210.52</v>
      </c>
      <c r="G11" s="23">
        <v>191.32</v>
      </c>
      <c r="H11" s="23">
        <v>212.72</v>
      </c>
      <c r="I11" s="23">
        <v>226.92</v>
      </c>
      <c r="J11" s="23">
        <v>235.8</v>
      </c>
      <c r="K11" s="23"/>
      <c r="L11" s="23"/>
      <c r="M11" s="23"/>
      <c r="N11" s="42"/>
      <c r="O11" s="14">
        <f t="shared" si="0"/>
        <v>1667.6399999999999</v>
      </c>
    </row>
    <row r="12" spans="2:15" ht="22.5" customHeight="1">
      <c r="B12" s="13" t="s">
        <v>43</v>
      </c>
      <c r="C12" s="23">
        <v>4.88</v>
      </c>
      <c r="D12" s="23">
        <v>5.46</v>
      </c>
      <c r="E12" s="23">
        <v>37.6</v>
      </c>
      <c r="F12" s="23">
        <v>10.039999999999999</v>
      </c>
      <c r="G12" s="23">
        <v>6.6</v>
      </c>
      <c r="H12" s="23">
        <v>40.98</v>
      </c>
      <c r="I12" s="23">
        <v>13.48</v>
      </c>
      <c r="J12" s="23">
        <v>19.5</v>
      </c>
      <c r="K12" s="23"/>
      <c r="L12" s="23"/>
      <c r="M12" s="23"/>
      <c r="N12" s="23"/>
      <c r="O12" s="14">
        <f t="shared" si="0"/>
        <v>138.54000000000002</v>
      </c>
    </row>
    <row r="13" spans="2:15" ht="30">
      <c r="B13" s="29" t="s">
        <v>41</v>
      </c>
      <c r="C13" s="23">
        <v>65.22</v>
      </c>
      <c r="D13" s="23">
        <v>47.14</v>
      </c>
      <c r="E13" s="23">
        <v>72.959999999999994</v>
      </c>
      <c r="F13" s="23">
        <v>62.04</v>
      </c>
      <c r="G13" s="23">
        <v>59.24</v>
      </c>
      <c r="H13" s="23">
        <v>62.64</v>
      </c>
      <c r="I13" s="23">
        <v>67.36</v>
      </c>
      <c r="J13" s="23">
        <v>66.05</v>
      </c>
      <c r="K13" s="23"/>
      <c r="L13" s="23"/>
      <c r="M13" s="23"/>
      <c r="N13" s="23"/>
      <c r="O13" s="14">
        <f t="shared" si="0"/>
        <v>502.65</v>
      </c>
    </row>
    <row r="14" spans="2:15">
      <c r="B14" s="45" t="s">
        <v>55</v>
      </c>
      <c r="C14" s="23">
        <v>2.56</v>
      </c>
      <c r="D14" s="23">
        <v>3.08</v>
      </c>
      <c r="E14" s="23">
        <v>19.46</v>
      </c>
      <c r="F14" s="23">
        <v>6.22</v>
      </c>
      <c r="G14" s="23">
        <v>5.74</v>
      </c>
      <c r="H14" s="23">
        <v>16.72</v>
      </c>
      <c r="I14" s="23">
        <v>10.68</v>
      </c>
      <c r="J14" s="23">
        <v>6.38</v>
      </c>
      <c r="K14" s="23"/>
      <c r="L14" s="23"/>
      <c r="M14" s="23"/>
      <c r="N14" s="23"/>
      <c r="O14" s="14">
        <f t="shared" si="0"/>
        <v>70.84</v>
      </c>
    </row>
    <row r="15" spans="2:15">
      <c r="B15" s="24" t="s">
        <v>35</v>
      </c>
      <c r="C15" s="14">
        <f t="shared" ref="C15:I15" si="1">SUM(C4:C14)</f>
        <v>369.32</v>
      </c>
      <c r="D15" s="14">
        <f t="shared" si="1"/>
        <v>318.05999999999995</v>
      </c>
      <c r="E15" s="14">
        <f t="shared" si="1"/>
        <v>453.71999999999997</v>
      </c>
      <c r="F15" s="14">
        <f t="shared" si="1"/>
        <v>397.44000000000005</v>
      </c>
      <c r="G15" s="14">
        <f t="shared" si="1"/>
        <v>350.5</v>
      </c>
      <c r="H15" s="14">
        <f t="shared" si="1"/>
        <v>425.14</v>
      </c>
      <c r="I15" s="14">
        <f t="shared" si="1"/>
        <v>418.96000000000004</v>
      </c>
      <c r="J15" s="14">
        <f>SUM(J4:J14)</f>
        <v>425.07</v>
      </c>
      <c r="K15" s="14">
        <f>SUM(K4:K14)</f>
        <v>0</v>
      </c>
      <c r="L15" s="14">
        <f>SUM(L4:L14)</f>
        <v>0</v>
      </c>
      <c r="M15" s="14">
        <f>SUM(M4:M14)</f>
        <v>0</v>
      </c>
      <c r="N15" s="14">
        <f>SUM(N4:N14)</f>
        <v>0</v>
      </c>
      <c r="O15" s="12">
        <f>SUM(C15:N15)</f>
        <v>3158.21</v>
      </c>
    </row>
    <row r="17" spans="2:15">
      <c r="B17" t="s">
        <v>62</v>
      </c>
    </row>
    <row r="18" spans="2:15" ht="45">
      <c r="B18" s="2" t="s">
        <v>4</v>
      </c>
      <c r="C18" s="2" t="s">
        <v>5</v>
      </c>
      <c r="D18" s="2" t="s">
        <v>7</v>
      </c>
      <c r="E18" s="2" t="s">
        <v>8</v>
      </c>
      <c r="F18" s="2" t="s">
        <v>10</v>
      </c>
      <c r="G18" s="2" t="s">
        <v>11</v>
      </c>
      <c r="H18" s="2" t="s">
        <v>12</v>
      </c>
      <c r="I18" s="2" t="s">
        <v>14</v>
      </c>
      <c r="J18" s="2" t="s">
        <v>15</v>
      </c>
      <c r="K18" s="2" t="s">
        <v>16</v>
      </c>
      <c r="L18" s="2" t="s">
        <v>17</v>
      </c>
      <c r="M18" s="2" t="s">
        <v>18</v>
      </c>
      <c r="N18" s="2" t="s">
        <v>19</v>
      </c>
      <c r="O18" s="34" t="s">
        <v>36</v>
      </c>
    </row>
    <row r="19" spans="2:15">
      <c r="B19" s="22" t="s">
        <v>38</v>
      </c>
      <c r="C19" s="23">
        <v>21.9</v>
      </c>
      <c r="D19" s="23">
        <v>14.52</v>
      </c>
      <c r="E19" s="23">
        <v>17.54</v>
      </c>
      <c r="F19" s="23">
        <v>24.76</v>
      </c>
      <c r="G19" s="23">
        <v>19.52</v>
      </c>
      <c r="H19" s="23">
        <v>18.52</v>
      </c>
      <c r="I19" s="23">
        <v>21.78</v>
      </c>
      <c r="J19" s="23">
        <v>22.8</v>
      </c>
      <c r="K19" s="23">
        <v>19.7</v>
      </c>
      <c r="L19" s="23">
        <v>18.440000000000001</v>
      </c>
      <c r="M19" s="23">
        <v>14.22</v>
      </c>
      <c r="N19" s="23">
        <v>16.48</v>
      </c>
      <c r="O19" s="14">
        <f>SUM(C19:N19)</f>
        <v>230.17999999999998</v>
      </c>
    </row>
    <row r="20" spans="2:15">
      <c r="B20" s="24" t="s">
        <v>53</v>
      </c>
      <c r="C20" s="23">
        <v>0</v>
      </c>
      <c r="D20" s="23">
        <v>0</v>
      </c>
      <c r="E20" s="23">
        <v>0.36</v>
      </c>
      <c r="F20" s="23">
        <v>0.2</v>
      </c>
      <c r="G20" s="23">
        <v>0</v>
      </c>
      <c r="H20" s="23">
        <v>0.92</v>
      </c>
      <c r="I20" s="23">
        <v>0</v>
      </c>
      <c r="J20" s="23">
        <v>0</v>
      </c>
      <c r="K20" s="23">
        <v>0.16</v>
      </c>
      <c r="L20" s="23">
        <v>0</v>
      </c>
      <c r="M20" s="23">
        <v>0</v>
      </c>
      <c r="N20" s="23">
        <v>0</v>
      </c>
      <c r="O20" s="14">
        <f t="shared" ref="O20:O29" si="2">SUM(C20:N20)</f>
        <v>1.64</v>
      </c>
    </row>
    <row r="21" spans="2:15">
      <c r="B21" s="24" t="s">
        <v>56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14">
        <f t="shared" si="2"/>
        <v>0</v>
      </c>
    </row>
    <row r="22" spans="2:15">
      <c r="B22" s="25" t="s">
        <v>39</v>
      </c>
      <c r="C22" s="23">
        <v>22.4</v>
      </c>
      <c r="D22" s="23">
        <v>16.52</v>
      </c>
      <c r="E22" s="23">
        <v>15.52</v>
      </c>
      <c r="F22" s="23">
        <v>29.72</v>
      </c>
      <c r="G22" s="23">
        <v>20.239999999999998</v>
      </c>
      <c r="H22" s="23">
        <v>17.86</v>
      </c>
      <c r="I22" s="23">
        <v>23.92</v>
      </c>
      <c r="J22" s="23">
        <v>21.88</v>
      </c>
      <c r="K22" s="23">
        <v>20.96</v>
      </c>
      <c r="L22" s="23">
        <v>23.98</v>
      </c>
      <c r="M22" s="23">
        <v>17</v>
      </c>
      <c r="N22" s="23">
        <v>20.28</v>
      </c>
      <c r="O22" s="14">
        <f t="shared" si="2"/>
        <v>250.28</v>
      </c>
    </row>
    <row r="23" spans="2:15" ht="30">
      <c r="B23" s="26" t="s">
        <v>40</v>
      </c>
      <c r="C23" s="23">
        <v>20.76</v>
      </c>
      <c r="D23" s="23">
        <v>13.12</v>
      </c>
      <c r="E23" s="23">
        <v>26.78</v>
      </c>
      <c r="F23" s="23">
        <v>29.52</v>
      </c>
      <c r="G23" s="23">
        <v>30.48</v>
      </c>
      <c r="H23" s="23">
        <v>31.3</v>
      </c>
      <c r="I23" s="23">
        <v>39.6</v>
      </c>
      <c r="J23" s="23">
        <v>38.700000000000003</v>
      </c>
      <c r="K23" s="23">
        <v>38.04</v>
      </c>
      <c r="L23" s="23">
        <v>39.799999999999997</v>
      </c>
      <c r="M23" s="23">
        <v>39.54</v>
      </c>
      <c r="N23" s="23">
        <v>21.74</v>
      </c>
      <c r="O23" s="14">
        <f t="shared" si="2"/>
        <v>369.38000000000005</v>
      </c>
    </row>
    <row r="24" spans="2:15" ht="30">
      <c r="B24" s="13" t="s">
        <v>44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0.12</v>
      </c>
      <c r="I24" s="23">
        <v>0</v>
      </c>
      <c r="J24" s="23">
        <v>0</v>
      </c>
      <c r="K24" s="23">
        <v>0.08</v>
      </c>
      <c r="L24" s="23">
        <v>0</v>
      </c>
      <c r="M24" s="23">
        <v>0</v>
      </c>
      <c r="N24" s="23">
        <v>0</v>
      </c>
      <c r="O24" s="14">
        <f t="shared" si="2"/>
        <v>0.2</v>
      </c>
    </row>
    <row r="25" spans="2:15">
      <c r="B25" s="27" t="s">
        <v>54</v>
      </c>
      <c r="C25" s="41">
        <v>33.9</v>
      </c>
      <c r="D25" s="23">
        <v>32.86</v>
      </c>
      <c r="E25" s="23">
        <v>28.58</v>
      </c>
      <c r="F25" s="23">
        <v>16.02</v>
      </c>
      <c r="G25" s="23">
        <v>13.26</v>
      </c>
      <c r="H25" s="23">
        <v>8.6</v>
      </c>
      <c r="I25" s="23">
        <v>4.7</v>
      </c>
      <c r="J25" s="23">
        <v>5.18</v>
      </c>
      <c r="K25" s="23">
        <v>5.38</v>
      </c>
      <c r="L25" s="23">
        <v>19.78</v>
      </c>
      <c r="M25" s="23">
        <v>19.88</v>
      </c>
      <c r="N25" s="23">
        <v>26.02</v>
      </c>
      <c r="O25" s="14">
        <f t="shared" si="2"/>
        <v>214.16</v>
      </c>
    </row>
    <row r="26" spans="2:15" ht="30">
      <c r="B26" s="28" t="s">
        <v>42</v>
      </c>
      <c r="C26" s="23">
        <v>185.98</v>
      </c>
      <c r="D26" s="23">
        <v>162.72</v>
      </c>
      <c r="E26" s="23">
        <v>184.2</v>
      </c>
      <c r="F26" s="23">
        <v>182.06</v>
      </c>
      <c r="G26" s="23">
        <v>192.6</v>
      </c>
      <c r="H26" s="23">
        <v>206.22</v>
      </c>
      <c r="I26" s="23">
        <v>196.24</v>
      </c>
      <c r="J26" s="23">
        <v>212.82</v>
      </c>
      <c r="K26" s="23">
        <v>211.4</v>
      </c>
      <c r="L26" s="23">
        <v>199.54</v>
      </c>
      <c r="M26" s="23">
        <v>156.97999999999999</v>
      </c>
      <c r="N26" s="42">
        <v>222.94</v>
      </c>
      <c r="O26" s="14">
        <f t="shared" si="2"/>
        <v>2313.6999999999998</v>
      </c>
    </row>
    <row r="27" spans="2:15" ht="30">
      <c r="B27" s="13" t="s">
        <v>43</v>
      </c>
      <c r="C27" s="23">
        <v>6.78</v>
      </c>
      <c r="D27" s="23">
        <v>5.78</v>
      </c>
      <c r="E27" s="23">
        <v>23.26</v>
      </c>
      <c r="F27" s="23">
        <v>5.94</v>
      </c>
      <c r="G27" s="23">
        <v>5.54</v>
      </c>
      <c r="H27" s="23">
        <v>27.46</v>
      </c>
      <c r="I27" s="23">
        <v>11.5</v>
      </c>
      <c r="J27" s="23">
        <v>11.3</v>
      </c>
      <c r="K27" s="23">
        <v>32.08</v>
      </c>
      <c r="L27" s="23">
        <v>15.22</v>
      </c>
      <c r="M27" s="23">
        <v>4.0599999999999996</v>
      </c>
      <c r="N27" s="23">
        <v>26.38</v>
      </c>
      <c r="O27" s="14">
        <f t="shared" si="2"/>
        <v>175.29999999999998</v>
      </c>
    </row>
    <row r="28" spans="2:15" ht="30">
      <c r="B28" s="29" t="s">
        <v>41</v>
      </c>
      <c r="C28" s="23">
        <v>61.5</v>
      </c>
      <c r="D28" s="23">
        <v>47.92</v>
      </c>
      <c r="E28" s="23">
        <v>57.94</v>
      </c>
      <c r="F28" s="23">
        <v>75.760000000000005</v>
      </c>
      <c r="G28" s="23">
        <v>64.58</v>
      </c>
      <c r="H28" s="23">
        <v>63.46</v>
      </c>
      <c r="I28" s="23">
        <v>74.319999999999993</v>
      </c>
      <c r="J28" s="23">
        <v>64.98</v>
      </c>
      <c r="K28" s="23">
        <v>75.819999999999993</v>
      </c>
      <c r="L28" s="23">
        <v>65.900000000000006</v>
      </c>
      <c r="M28" s="23">
        <v>54.7</v>
      </c>
      <c r="N28" s="23">
        <v>66.83</v>
      </c>
      <c r="O28" s="14">
        <f t="shared" si="2"/>
        <v>773.71</v>
      </c>
    </row>
    <row r="29" spans="2:15">
      <c r="B29" s="45" t="s">
        <v>55</v>
      </c>
      <c r="C29" s="23">
        <v>0</v>
      </c>
      <c r="D29" s="23">
        <v>0</v>
      </c>
      <c r="E29" s="23">
        <v>0</v>
      </c>
      <c r="F29" s="23">
        <v>18.420000000000002</v>
      </c>
      <c r="G29" s="23">
        <v>0</v>
      </c>
      <c r="H29" s="23">
        <v>10.18</v>
      </c>
      <c r="I29" s="23">
        <v>0</v>
      </c>
      <c r="J29" s="23">
        <v>0</v>
      </c>
      <c r="K29" s="23">
        <v>21.96</v>
      </c>
      <c r="L29" s="23">
        <v>0</v>
      </c>
      <c r="M29" s="23">
        <v>0</v>
      </c>
      <c r="N29" s="23">
        <v>11.46</v>
      </c>
      <c r="O29" s="14">
        <f t="shared" si="2"/>
        <v>62.02</v>
      </c>
    </row>
    <row r="30" spans="2:15">
      <c r="B30" s="24" t="s">
        <v>35</v>
      </c>
      <c r="C30" s="14">
        <f t="shared" ref="C30:I30" si="3">SUM(C19:C29)</f>
        <v>353.21999999999997</v>
      </c>
      <c r="D30" s="14">
        <f t="shared" si="3"/>
        <v>293.44</v>
      </c>
      <c r="E30" s="14">
        <f t="shared" si="3"/>
        <v>354.18</v>
      </c>
      <c r="F30" s="14">
        <f t="shared" si="3"/>
        <v>382.4</v>
      </c>
      <c r="G30" s="14">
        <f t="shared" si="3"/>
        <v>346.22</v>
      </c>
      <c r="H30" s="14">
        <f>SUM(H19:H29)</f>
        <v>384.63999999999993</v>
      </c>
      <c r="I30" s="14">
        <f t="shared" si="3"/>
        <v>372.06</v>
      </c>
      <c r="J30" s="14">
        <f>SUM(J19:J29)</f>
        <v>377.66</v>
      </c>
      <c r="K30" s="14">
        <f>SUM(K19:K29)</f>
        <v>425.58</v>
      </c>
      <c r="L30" s="14">
        <f>SUM(L19:L29)</f>
        <v>382.65999999999997</v>
      </c>
      <c r="M30" s="14">
        <f>SUM(M19:M29)</f>
        <v>306.38</v>
      </c>
      <c r="N30" s="14">
        <f>SUM(N19:N29)</f>
        <v>412.12999999999994</v>
      </c>
      <c r="O30" s="12">
        <f>SUM(C30:N30)</f>
        <v>4390.57</v>
      </c>
    </row>
  </sheetData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C2:O33"/>
  <sheetViews>
    <sheetView topLeftCell="A4" workbookViewId="0">
      <selection activeCell="O25" sqref="O25"/>
    </sheetView>
  </sheetViews>
  <sheetFormatPr defaultRowHeight="15"/>
  <cols>
    <col min="3" max="3" width="13.85546875" customWidth="1"/>
    <col min="4" max="4" width="13.5703125" customWidth="1"/>
    <col min="5" max="5" width="13" customWidth="1"/>
    <col min="6" max="7" width="10.28515625" customWidth="1"/>
    <col min="8" max="8" width="14" customWidth="1"/>
    <col min="9" max="10" width="12.85546875" customWidth="1"/>
    <col min="11" max="11" width="11.42578125" customWidth="1"/>
  </cols>
  <sheetData>
    <row r="2" spans="3:15" ht="21">
      <c r="C2" t="s">
        <v>61</v>
      </c>
      <c r="D2" s="19" t="s">
        <v>6</v>
      </c>
    </row>
    <row r="3" spans="3:15" ht="72">
      <c r="C3" s="2" t="s">
        <v>0</v>
      </c>
      <c r="D3" s="3" t="s">
        <v>40</v>
      </c>
      <c r="E3" s="4" t="s">
        <v>41</v>
      </c>
      <c r="F3" s="20" t="s">
        <v>57</v>
      </c>
      <c r="G3" s="6" t="s">
        <v>58</v>
      </c>
      <c r="H3" s="21" t="s">
        <v>59</v>
      </c>
      <c r="I3" s="6" t="s">
        <v>43</v>
      </c>
      <c r="J3" s="6" t="s">
        <v>44</v>
      </c>
      <c r="K3" s="7" t="s">
        <v>38</v>
      </c>
      <c r="L3" s="8" t="s">
        <v>39</v>
      </c>
      <c r="M3" s="6" t="s">
        <v>53</v>
      </c>
      <c r="N3" s="6" t="s">
        <v>60</v>
      </c>
      <c r="O3" s="6" t="s">
        <v>31</v>
      </c>
    </row>
    <row r="4" spans="3:15">
      <c r="C4" s="9" t="s">
        <v>3</v>
      </c>
      <c r="D4" s="10">
        <v>11.02</v>
      </c>
      <c r="E4" s="10">
        <v>41.48</v>
      </c>
      <c r="F4" s="10">
        <v>22.26</v>
      </c>
      <c r="G4" s="10">
        <v>0</v>
      </c>
      <c r="H4" s="10">
        <v>150.22</v>
      </c>
      <c r="I4" s="10">
        <v>4.54</v>
      </c>
      <c r="J4" s="10">
        <v>0</v>
      </c>
      <c r="K4" s="10">
        <v>18.579999999999998</v>
      </c>
      <c r="L4" s="10">
        <v>21.82</v>
      </c>
      <c r="M4" s="10">
        <v>0</v>
      </c>
      <c r="N4" s="10">
        <v>2.2599999999999998</v>
      </c>
      <c r="O4" s="12">
        <f t="shared" ref="O4:O15" si="0">SUM(D4:N4)</f>
        <v>272.18</v>
      </c>
    </row>
    <row r="5" spans="3:15">
      <c r="C5" s="9" t="s">
        <v>7</v>
      </c>
      <c r="D5" s="10">
        <v>19.88</v>
      </c>
      <c r="E5" s="10">
        <v>34.76</v>
      </c>
      <c r="F5" s="10">
        <v>25.28</v>
      </c>
      <c r="G5" s="10">
        <v>0</v>
      </c>
      <c r="H5" s="10">
        <v>137.74</v>
      </c>
      <c r="I5" s="10">
        <v>5.36</v>
      </c>
      <c r="J5" s="10">
        <v>0</v>
      </c>
      <c r="K5" s="10">
        <v>7.28</v>
      </c>
      <c r="L5" s="10">
        <v>15.58</v>
      </c>
      <c r="M5" s="10">
        <v>0</v>
      </c>
      <c r="N5" s="10">
        <v>2.62</v>
      </c>
      <c r="O5" s="12">
        <f t="shared" si="0"/>
        <v>248.50000000000006</v>
      </c>
    </row>
    <row r="6" spans="3:15">
      <c r="C6" s="9" t="s">
        <v>8</v>
      </c>
      <c r="D6" s="10">
        <v>30.36</v>
      </c>
      <c r="E6" s="10">
        <v>54.36</v>
      </c>
      <c r="F6" s="10">
        <v>19.559999999999999</v>
      </c>
      <c r="G6" s="10">
        <v>0</v>
      </c>
      <c r="H6" s="10">
        <v>173.1</v>
      </c>
      <c r="I6" s="10">
        <v>24.2</v>
      </c>
      <c r="J6" s="10">
        <v>0</v>
      </c>
      <c r="K6" s="10">
        <v>12.44</v>
      </c>
      <c r="L6" s="10">
        <v>14.1</v>
      </c>
      <c r="M6" s="10">
        <v>0</v>
      </c>
      <c r="N6" s="10">
        <v>12.14</v>
      </c>
      <c r="O6" s="12">
        <f t="shared" si="0"/>
        <v>340.26</v>
      </c>
    </row>
    <row r="7" spans="3:15">
      <c r="C7" s="9" t="s">
        <v>10</v>
      </c>
      <c r="D7" s="47">
        <v>24.7</v>
      </c>
      <c r="E7" s="47">
        <v>44.14</v>
      </c>
      <c r="F7" s="47">
        <v>16.52</v>
      </c>
      <c r="G7" s="47">
        <v>0</v>
      </c>
      <c r="H7" s="47">
        <v>161.94</v>
      </c>
      <c r="I7" s="47">
        <v>7.38</v>
      </c>
      <c r="J7" s="47">
        <v>0</v>
      </c>
      <c r="K7" s="47">
        <v>18.48</v>
      </c>
      <c r="L7" s="47">
        <v>24.04</v>
      </c>
      <c r="M7" s="47">
        <v>0</v>
      </c>
      <c r="N7" s="48">
        <v>5.0999999999999996</v>
      </c>
      <c r="O7" s="12">
        <f t="shared" si="0"/>
        <v>302.30000000000007</v>
      </c>
    </row>
    <row r="8" spans="3:15">
      <c r="C8" s="9" t="s">
        <v>11</v>
      </c>
      <c r="D8" s="47">
        <v>30.98</v>
      </c>
      <c r="E8" s="47">
        <v>43.5</v>
      </c>
      <c r="F8" s="47">
        <v>5.48</v>
      </c>
      <c r="G8" s="47">
        <v>1.8</v>
      </c>
      <c r="H8" s="47">
        <v>148</v>
      </c>
      <c r="I8" s="47">
        <v>6.12</v>
      </c>
      <c r="J8" s="47">
        <v>0</v>
      </c>
      <c r="K8" s="47">
        <v>12.28</v>
      </c>
      <c r="L8" s="47">
        <v>17.940000000000001</v>
      </c>
      <c r="M8" s="47">
        <v>0</v>
      </c>
      <c r="N8" s="48">
        <v>5.22</v>
      </c>
      <c r="O8" s="12">
        <f t="shared" si="0"/>
        <v>271.32000000000005</v>
      </c>
    </row>
    <row r="9" spans="3:15">
      <c r="C9" s="9" t="s">
        <v>13</v>
      </c>
      <c r="D9" s="47">
        <v>31.72</v>
      </c>
      <c r="E9" s="47">
        <v>46.32</v>
      </c>
      <c r="F9" s="47">
        <v>3.98</v>
      </c>
      <c r="G9" s="47">
        <v>0</v>
      </c>
      <c r="H9" s="47">
        <v>157.46</v>
      </c>
      <c r="I9" s="47">
        <v>25.26</v>
      </c>
      <c r="J9" s="47">
        <v>0</v>
      </c>
      <c r="K9" s="47">
        <v>12.54</v>
      </c>
      <c r="L9" s="47">
        <v>24.1</v>
      </c>
      <c r="M9" s="47">
        <v>0</v>
      </c>
      <c r="N9" s="48">
        <v>9.3800000000000008</v>
      </c>
      <c r="O9" s="12">
        <f t="shared" si="0"/>
        <v>310.76000000000005</v>
      </c>
    </row>
    <row r="10" spans="3:15">
      <c r="C10" s="9" t="s">
        <v>14</v>
      </c>
      <c r="D10" s="47">
        <v>36.04</v>
      </c>
      <c r="E10" s="47">
        <v>50.28</v>
      </c>
      <c r="F10" s="47">
        <v>2.2599999999999998</v>
      </c>
      <c r="G10" s="47">
        <v>0</v>
      </c>
      <c r="H10" s="47">
        <v>172.92</v>
      </c>
      <c r="I10" s="47">
        <v>9.26</v>
      </c>
      <c r="J10" s="47">
        <v>0</v>
      </c>
      <c r="K10" s="47">
        <v>13.04</v>
      </c>
      <c r="L10" s="47">
        <v>27.14</v>
      </c>
      <c r="M10" s="47">
        <v>0</v>
      </c>
      <c r="N10" s="48">
        <v>9.66</v>
      </c>
      <c r="O10" s="12">
        <f t="shared" si="0"/>
        <v>320.60000000000002</v>
      </c>
    </row>
    <row r="11" spans="3:15">
      <c r="C11" s="9" t="s">
        <v>15</v>
      </c>
      <c r="D11" s="47">
        <v>36.58</v>
      </c>
      <c r="E11" s="47">
        <v>49.97</v>
      </c>
      <c r="F11" s="47">
        <v>3.44</v>
      </c>
      <c r="G11" s="47">
        <v>0</v>
      </c>
      <c r="H11" s="47">
        <v>177.44</v>
      </c>
      <c r="I11" s="47">
        <v>18.600000000000001</v>
      </c>
      <c r="J11" s="47">
        <v>0</v>
      </c>
      <c r="K11" s="47">
        <v>13.76</v>
      </c>
      <c r="L11" s="47">
        <v>23</v>
      </c>
      <c r="M11" s="47">
        <v>0</v>
      </c>
      <c r="N11" s="48">
        <v>5.8</v>
      </c>
      <c r="O11" s="12">
        <f t="shared" si="0"/>
        <v>328.59000000000003</v>
      </c>
    </row>
    <row r="12" spans="3:15">
      <c r="C12" s="9" t="s">
        <v>16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>
        <f t="shared" si="0"/>
        <v>0</v>
      </c>
    </row>
    <row r="13" spans="3:15">
      <c r="C13" s="9" t="s">
        <v>17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>
        <f t="shared" si="0"/>
        <v>0</v>
      </c>
    </row>
    <row r="14" spans="3:15">
      <c r="C14" s="9" t="s">
        <v>18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>
        <f t="shared" si="0"/>
        <v>0</v>
      </c>
    </row>
    <row r="15" spans="3:15">
      <c r="C15" s="9" t="s">
        <v>19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>
        <f t="shared" si="0"/>
        <v>0</v>
      </c>
    </row>
    <row r="16" spans="3:15" ht="45">
      <c r="C16" s="13" t="s">
        <v>21</v>
      </c>
      <c r="D16" s="14">
        <f t="shared" ref="D16:O16" si="1">SUM(D4:D15)</f>
        <v>221.27999999999997</v>
      </c>
      <c r="E16" s="14">
        <f t="shared" si="1"/>
        <v>364.81000000000006</v>
      </c>
      <c r="F16" s="14">
        <f t="shared" si="1"/>
        <v>98.780000000000015</v>
      </c>
      <c r="G16" s="14">
        <f t="shared" si="1"/>
        <v>1.8</v>
      </c>
      <c r="H16" s="14">
        <f t="shared" si="1"/>
        <v>1278.8200000000002</v>
      </c>
      <c r="I16" s="14">
        <f t="shared" si="1"/>
        <v>100.72</v>
      </c>
      <c r="J16" s="14">
        <f t="shared" si="1"/>
        <v>0</v>
      </c>
      <c r="K16" s="14">
        <f t="shared" si="1"/>
        <v>108.39999999999999</v>
      </c>
      <c r="L16" s="14">
        <f t="shared" si="1"/>
        <v>167.71999999999997</v>
      </c>
      <c r="M16" s="14">
        <f t="shared" si="1"/>
        <v>0</v>
      </c>
      <c r="N16" s="14">
        <f t="shared" si="1"/>
        <v>52.179999999999993</v>
      </c>
      <c r="O16" s="32">
        <f t="shared" si="1"/>
        <v>2394.5100000000007</v>
      </c>
    </row>
    <row r="19" spans="3:15">
      <c r="C19" t="s">
        <v>62</v>
      </c>
    </row>
    <row r="20" spans="3:15" ht="72">
      <c r="C20" s="2" t="s">
        <v>0</v>
      </c>
      <c r="D20" s="3" t="s">
        <v>22</v>
      </c>
      <c r="E20" s="4" t="s">
        <v>32</v>
      </c>
      <c r="F20" s="20" t="s">
        <v>50</v>
      </c>
      <c r="G20" s="6" t="s">
        <v>24</v>
      </c>
      <c r="H20" s="21" t="s">
        <v>25</v>
      </c>
      <c r="I20" s="6" t="s">
        <v>26</v>
      </c>
      <c r="J20" s="6" t="s">
        <v>27</v>
      </c>
      <c r="K20" s="7" t="s">
        <v>28</v>
      </c>
      <c r="L20" s="8" t="s">
        <v>29</v>
      </c>
      <c r="M20" s="6" t="s">
        <v>30</v>
      </c>
      <c r="N20" s="6" t="s">
        <v>52</v>
      </c>
      <c r="O20" s="6" t="s">
        <v>31</v>
      </c>
    </row>
    <row r="21" spans="3:15">
      <c r="C21" s="9" t="s">
        <v>3</v>
      </c>
      <c r="D21" s="10">
        <v>18.62</v>
      </c>
      <c r="E21" s="10">
        <v>47.52</v>
      </c>
      <c r="F21" s="10">
        <v>18.440000000000001</v>
      </c>
      <c r="G21" s="10">
        <v>0</v>
      </c>
      <c r="H21" s="10">
        <v>146.9</v>
      </c>
      <c r="I21" s="10">
        <v>6.42</v>
      </c>
      <c r="J21" s="10">
        <v>0</v>
      </c>
      <c r="K21" s="10">
        <v>12.5</v>
      </c>
      <c r="L21" s="10">
        <v>20.16</v>
      </c>
      <c r="M21" s="10">
        <v>0</v>
      </c>
      <c r="N21" s="10">
        <v>0</v>
      </c>
      <c r="O21" s="12">
        <f>SUM(D21:N21)</f>
        <v>270.56</v>
      </c>
    </row>
    <row r="22" spans="3:15">
      <c r="C22" s="9" t="s">
        <v>7</v>
      </c>
      <c r="D22" s="10">
        <v>11.1</v>
      </c>
      <c r="E22" s="10">
        <v>35.380000000000003</v>
      </c>
      <c r="F22" s="10">
        <v>20.2</v>
      </c>
      <c r="G22" s="10">
        <v>0</v>
      </c>
      <c r="H22" s="10">
        <v>127.42</v>
      </c>
      <c r="I22" s="10">
        <v>5.48</v>
      </c>
      <c r="J22" s="10">
        <v>0</v>
      </c>
      <c r="K22" s="10">
        <v>9.0399999999999991</v>
      </c>
      <c r="L22" s="10">
        <v>15.26</v>
      </c>
      <c r="M22" s="10">
        <v>0</v>
      </c>
      <c r="N22" s="10">
        <v>0</v>
      </c>
      <c r="O22" s="12">
        <f>SUM(D22:N22)</f>
        <v>223.88</v>
      </c>
    </row>
    <row r="23" spans="3:15">
      <c r="C23" s="9" t="s">
        <v>8</v>
      </c>
      <c r="D23" s="10">
        <v>24.82</v>
      </c>
      <c r="E23" s="10">
        <v>43.2</v>
      </c>
      <c r="F23" s="10">
        <v>16.600000000000001</v>
      </c>
      <c r="G23" s="10">
        <v>0</v>
      </c>
      <c r="H23" s="10">
        <v>144.47999999999999</v>
      </c>
      <c r="I23" s="10">
        <v>12.68</v>
      </c>
      <c r="J23" s="10">
        <v>0</v>
      </c>
      <c r="K23" s="10">
        <v>10.68</v>
      </c>
      <c r="L23" s="10">
        <v>14.02</v>
      </c>
      <c r="M23" s="10">
        <v>0</v>
      </c>
      <c r="N23" s="10">
        <v>0</v>
      </c>
      <c r="O23" s="12">
        <f>SUM(D23:N23)</f>
        <v>266.48</v>
      </c>
    </row>
    <row r="24" spans="3:15">
      <c r="C24" s="9" t="s">
        <v>10</v>
      </c>
      <c r="D24" s="10">
        <v>26.24</v>
      </c>
      <c r="E24" s="10">
        <v>59.62</v>
      </c>
      <c r="F24" s="10">
        <v>10.1</v>
      </c>
      <c r="G24" s="10">
        <v>0</v>
      </c>
      <c r="H24" s="10">
        <v>134.91999999999999</v>
      </c>
      <c r="I24" s="10">
        <v>4.8</v>
      </c>
      <c r="J24" s="10">
        <v>0</v>
      </c>
      <c r="K24" s="10">
        <v>14.92</v>
      </c>
      <c r="L24" s="10">
        <v>26.72</v>
      </c>
      <c r="M24" s="10">
        <v>0</v>
      </c>
      <c r="N24" s="10">
        <v>12.56</v>
      </c>
      <c r="O24" s="12">
        <f>SUM(D24:N24)</f>
        <v>289.88</v>
      </c>
    </row>
    <row r="25" spans="3:15">
      <c r="C25" s="9" t="s">
        <v>11</v>
      </c>
      <c r="D25" s="10">
        <v>27.72</v>
      </c>
      <c r="E25" s="10">
        <v>48.32</v>
      </c>
      <c r="F25" s="10">
        <v>9.08</v>
      </c>
      <c r="G25" s="10">
        <v>0</v>
      </c>
      <c r="H25" s="10">
        <v>144.96</v>
      </c>
      <c r="I25" s="10">
        <v>5.0599999999999996</v>
      </c>
      <c r="J25" s="10">
        <v>0</v>
      </c>
      <c r="K25" s="10">
        <v>12.28</v>
      </c>
      <c r="L25" s="10">
        <v>18.64</v>
      </c>
      <c r="M25" s="10">
        <v>0</v>
      </c>
      <c r="N25" s="10">
        <v>0</v>
      </c>
      <c r="O25" s="12">
        <f t="shared" ref="O25:O32" si="2">SUM(D25:N25)</f>
        <v>266.06</v>
      </c>
    </row>
    <row r="26" spans="3:15">
      <c r="C26" s="9" t="s">
        <v>13</v>
      </c>
      <c r="D26" s="10">
        <v>27.72</v>
      </c>
      <c r="E26" s="10">
        <v>48.1</v>
      </c>
      <c r="F26" s="10">
        <v>7.46</v>
      </c>
      <c r="G26" s="10">
        <v>0</v>
      </c>
      <c r="H26" s="10">
        <v>160.24</v>
      </c>
      <c r="I26" s="10">
        <v>15.74</v>
      </c>
      <c r="J26" s="10">
        <v>0</v>
      </c>
      <c r="K26" s="10">
        <v>10.7</v>
      </c>
      <c r="L26" s="10">
        <v>16.059999999999999</v>
      </c>
      <c r="M26" s="10">
        <v>0.42</v>
      </c>
      <c r="N26" s="10">
        <v>7.38</v>
      </c>
      <c r="O26" s="12">
        <f t="shared" si="2"/>
        <v>293.82</v>
      </c>
    </row>
    <row r="27" spans="3:15">
      <c r="C27" s="9" t="s">
        <v>14</v>
      </c>
      <c r="D27" s="10">
        <v>36.44</v>
      </c>
      <c r="E27" s="10">
        <v>52.76</v>
      </c>
      <c r="F27" s="10">
        <v>2.8</v>
      </c>
      <c r="G27" s="10">
        <v>0</v>
      </c>
      <c r="H27" s="10">
        <v>151.02000000000001</v>
      </c>
      <c r="I27" s="10">
        <v>10.16</v>
      </c>
      <c r="J27" s="10">
        <v>0</v>
      </c>
      <c r="K27" s="10">
        <v>13.36</v>
      </c>
      <c r="L27" s="10">
        <v>22.18</v>
      </c>
      <c r="M27" s="10">
        <v>0</v>
      </c>
      <c r="N27" s="10">
        <v>0</v>
      </c>
      <c r="O27" s="12">
        <f t="shared" si="2"/>
        <v>288.71999999999997</v>
      </c>
    </row>
    <row r="28" spans="3:15">
      <c r="C28" s="9" t="s">
        <v>15</v>
      </c>
      <c r="D28" s="10">
        <v>35.06</v>
      </c>
      <c r="E28" s="10">
        <v>47.92</v>
      </c>
      <c r="F28" s="10">
        <v>3.88</v>
      </c>
      <c r="G28" s="10">
        <v>0</v>
      </c>
      <c r="H28" s="10">
        <v>159.69999999999999</v>
      </c>
      <c r="I28" s="10">
        <v>9.26</v>
      </c>
      <c r="J28" s="10">
        <v>0</v>
      </c>
      <c r="K28" s="10">
        <v>11.04</v>
      </c>
      <c r="L28" s="10">
        <v>19.64</v>
      </c>
      <c r="M28" s="10">
        <v>0</v>
      </c>
      <c r="N28" s="10">
        <v>0</v>
      </c>
      <c r="O28" s="12">
        <f t="shared" si="2"/>
        <v>286.5</v>
      </c>
    </row>
    <row r="29" spans="3:15">
      <c r="C29" s="9" t="s">
        <v>16</v>
      </c>
      <c r="D29" s="10">
        <v>35.14</v>
      </c>
      <c r="E29" s="10">
        <v>57.44</v>
      </c>
      <c r="F29" s="10">
        <v>3.58</v>
      </c>
      <c r="G29" s="10">
        <v>0</v>
      </c>
      <c r="H29" s="10">
        <v>156.13999999999999</v>
      </c>
      <c r="I29" s="10">
        <v>16.100000000000001</v>
      </c>
      <c r="J29" s="10">
        <v>0</v>
      </c>
      <c r="K29" s="10">
        <v>11.06</v>
      </c>
      <c r="L29" s="10">
        <v>18.28</v>
      </c>
      <c r="M29" s="10">
        <v>0</v>
      </c>
      <c r="N29" s="10">
        <v>16.02</v>
      </c>
      <c r="O29" s="12">
        <f t="shared" si="2"/>
        <v>313.76</v>
      </c>
    </row>
    <row r="30" spans="3:15">
      <c r="C30" s="9" t="s">
        <v>17</v>
      </c>
      <c r="D30" s="10">
        <v>36.18</v>
      </c>
      <c r="E30" s="10">
        <v>50.42</v>
      </c>
      <c r="F30" s="10">
        <v>12.04</v>
      </c>
      <c r="G30" s="10">
        <v>0</v>
      </c>
      <c r="H30" s="10">
        <v>156.74</v>
      </c>
      <c r="I30" s="10">
        <v>14.28</v>
      </c>
      <c r="J30" s="10">
        <v>0</v>
      </c>
      <c r="K30" s="10">
        <v>9.58</v>
      </c>
      <c r="L30" s="10">
        <v>22.06</v>
      </c>
      <c r="M30" s="10">
        <v>0</v>
      </c>
      <c r="N30" s="10">
        <v>0</v>
      </c>
      <c r="O30" s="12">
        <f t="shared" si="2"/>
        <v>301.29999999999995</v>
      </c>
    </row>
    <row r="31" spans="3:15">
      <c r="C31" s="9" t="s">
        <v>18</v>
      </c>
      <c r="D31" s="10">
        <v>35.06</v>
      </c>
      <c r="E31" s="10">
        <v>41.16</v>
      </c>
      <c r="F31" s="10">
        <v>11.74</v>
      </c>
      <c r="G31" s="10">
        <v>0</v>
      </c>
      <c r="H31" s="10">
        <v>122.8</v>
      </c>
      <c r="I31" s="10">
        <v>3</v>
      </c>
      <c r="J31" s="10">
        <v>0</v>
      </c>
      <c r="K31" s="10">
        <v>8.3000000000000007</v>
      </c>
      <c r="L31" s="10">
        <v>15.92</v>
      </c>
      <c r="M31" s="10">
        <v>0</v>
      </c>
      <c r="N31" s="10">
        <v>0</v>
      </c>
      <c r="O31" s="12">
        <f t="shared" si="2"/>
        <v>237.98</v>
      </c>
    </row>
    <row r="32" spans="3:15">
      <c r="C32" s="9" t="s">
        <v>19</v>
      </c>
      <c r="D32" s="10">
        <v>17.8</v>
      </c>
      <c r="E32" s="10">
        <v>46.47</v>
      </c>
      <c r="F32" s="10">
        <v>14.44</v>
      </c>
      <c r="G32" s="10">
        <v>0</v>
      </c>
      <c r="H32" s="10">
        <v>181.52</v>
      </c>
      <c r="I32" s="10">
        <v>15.56</v>
      </c>
      <c r="J32" s="10">
        <v>0</v>
      </c>
      <c r="K32" s="10">
        <v>9.82</v>
      </c>
      <c r="L32" s="10">
        <v>17.64</v>
      </c>
      <c r="M32" s="10">
        <v>0</v>
      </c>
      <c r="N32" s="10">
        <v>9.64</v>
      </c>
      <c r="O32" s="12">
        <f t="shared" si="2"/>
        <v>312.89</v>
      </c>
    </row>
    <row r="33" spans="3:15" ht="45">
      <c r="C33" s="13" t="s">
        <v>21</v>
      </c>
      <c r="D33" s="14">
        <f>SUM(D21:D32)</f>
        <v>331.90000000000003</v>
      </c>
      <c r="E33" s="14">
        <f t="shared" ref="E33:N33" si="3">SUM(E21:E32)</f>
        <v>578.31000000000006</v>
      </c>
      <c r="F33" s="14">
        <f>SUM(F21:F32)</f>
        <v>130.35999999999999</v>
      </c>
      <c r="G33" s="14">
        <f t="shared" si="3"/>
        <v>0</v>
      </c>
      <c r="H33" s="14">
        <f t="shared" si="3"/>
        <v>1786.8399999999997</v>
      </c>
      <c r="I33" s="14">
        <f t="shared" si="3"/>
        <v>118.54000000000002</v>
      </c>
      <c r="J33" s="14">
        <f t="shared" si="3"/>
        <v>0</v>
      </c>
      <c r="K33" s="14">
        <f t="shared" si="3"/>
        <v>133.28</v>
      </c>
      <c r="L33" s="14">
        <f t="shared" si="3"/>
        <v>226.57999999999998</v>
      </c>
      <c r="M33" s="14">
        <f t="shared" si="3"/>
        <v>0.42</v>
      </c>
      <c r="N33" s="14">
        <f t="shared" si="3"/>
        <v>45.6</v>
      </c>
      <c r="O33" s="32">
        <f>SUM(O21:O32)</f>
        <v>3351.83</v>
      </c>
    </row>
  </sheetData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C3:O33"/>
  <sheetViews>
    <sheetView topLeftCell="B7" workbookViewId="0">
      <selection activeCell="H26" sqref="H26"/>
    </sheetView>
  </sheetViews>
  <sheetFormatPr defaultRowHeight="15"/>
  <cols>
    <col min="2" max="2" width="7.85546875" customWidth="1"/>
    <col min="3" max="3" width="15.140625" customWidth="1"/>
    <col min="4" max="4" width="11.7109375" customWidth="1"/>
    <col min="5" max="5" width="13.28515625" customWidth="1"/>
    <col min="6" max="6" width="13.140625" customWidth="1"/>
    <col min="7" max="7" width="11.85546875" customWidth="1"/>
    <col min="8" max="8" width="14.28515625" customWidth="1"/>
    <col min="9" max="9" width="12.5703125" customWidth="1"/>
    <col min="10" max="10" width="14.42578125" customWidth="1"/>
    <col min="11" max="11" width="13" customWidth="1"/>
    <col min="12" max="12" width="12" customWidth="1"/>
    <col min="13" max="13" width="13.5703125" customWidth="1"/>
    <col min="14" max="14" width="10.5703125" customWidth="1"/>
    <col min="15" max="15" width="11.28515625" customWidth="1"/>
  </cols>
  <sheetData>
    <row r="3" spans="3:15" ht="21">
      <c r="C3" t="s">
        <v>61</v>
      </c>
      <c r="D3" s="86" t="s">
        <v>37</v>
      </c>
      <c r="E3" s="86"/>
    </row>
    <row r="4" spans="3:15" ht="69.75" customHeight="1">
      <c r="C4" s="2" t="s">
        <v>0</v>
      </c>
      <c r="D4" s="3" t="s">
        <v>40</v>
      </c>
      <c r="E4" s="4" t="s">
        <v>41</v>
      </c>
      <c r="F4" s="20" t="s">
        <v>57</v>
      </c>
      <c r="G4" s="6" t="s">
        <v>58</v>
      </c>
      <c r="H4" s="21" t="s">
        <v>59</v>
      </c>
      <c r="I4" s="6" t="s">
        <v>43</v>
      </c>
      <c r="J4" s="6" t="s">
        <v>44</v>
      </c>
      <c r="K4" s="7" t="s">
        <v>38</v>
      </c>
      <c r="L4" s="8" t="s">
        <v>39</v>
      </c>
      <c r="M4" s="6" t="s">
        <v>53</v>
      </c>
      <c r="N4" s="6" t="s">
        <v>60</v>
      </c>
      <c r="O4" s="6" t="s">
        <v>31</v>
      </c>
    </row>
    <row r="5" spans="3:15">
      <c r="C5" s="9" t="s">
        <v>3</v>
      </c>
      <c r="D5" s="10">
        <v>2.96</v>
      </c>
      <c r="E5" s="10">
        <v>23.74</v>
      </c>
      <c r="F5" s="10">
        <v>10.64</v>
      </c>
      <c r="G5" s="10">
        <v>0</v>
      </c>
      <c r="H5" s="10">
        <v>47.48</v>
      </c>
      <c r="I5" s="10">
        <v>0.34</v>
      </c>
      <c r="J5" s="10">
        <v>0</v>
      </c>
      <c r="K5" s="10">
        <v>8.36</v>
      </c>
      <c r="L5" s="10">
        <v>3.32</v>
      </c>
      <c r="M5" s="10">
        <v>0</v>
      </c>
      <c r="N5" s="10">
        <v>0.3</v>
      </c>
      <c r="O5" s="12">
        <f>SUM(D5:N5)</f>
        <v>97.139999999999986</v>
      </c>
    </row>
    <row r="6" spans="3:15">
      <c r="C6" s="9" t="s">
        <v>7</v>
      </c>
      <c r="D6" s="10">
        <v>2.44</v>
      </c>
      <c r="E6" s="10">
        <v>12.38</v>
      </c>
      <c r="F6" s="10">
        <v>13.02</v>
      </c>
      <c r="G6" s="10">
        <v>0</v>
      </c>
      <c r="H6" s="10">
        <v>32.22</v>
      </c>
      <c r="I6" s="10">
        <v>0.1</v>
      </c>
      <c r="J6" s="10">
        <v>0</v>
      </c>
      <c r="K6" s="10">
        <v>6.3</v>
      </c>
      <c r="L6" s="10">
        <v>2.64</v>
      </c>
      <c r="M6" s="10">
        <v>0</v>
      </c>
      <c r="N6" s="10">
        <v>0.46</v>
      </c>
      <c r="O6" s="12">
        <f t="shared" ref="O6:O16" si="0">SUM(D6:N6)</f>
        <v>69.56</v>
      </c>
    </row>
    <row r="7" spans="3:15">
      <c r="C7" s="9" t="s">
        <v>8</v>
      </c>
      <c r="D7" s="10">
        <v>5.3</v>
      </c>
      <c r="E7" s="10">
        <v>18.600000000000001</v>
      </c>
      <c r="F7" s="10">
        <v>8.5</v>
      </c>
      <c r="G7" s="10">
        <v>0</v>
      </c>
      <c r="H7" s="10">
        <v>49.6</v>
      </c>
      <c r="I7" s="10">
        <v>13.4</v>
      </c>
      <c r="J7" s="10">
        <v>0.1</v>
      </c>
      <c r="K7" s="10">
        <v>7.76</v>
      </c>
      <c r="L7" s="10">
        <v>2.88</v>
      </c>
      <c r="M7" s="10">
        <v>0</v>
      </c>
      <c r="N7" s="10">
        <v>7.32</v>
      </c>
      <c r="O7" s="12">
        <f t="shared" si="0"/>
        <v>113.46000000000001</v>
      </c>
    </row>
    <row r="8" spans="3:15">
      <c r="C8" s="9" t="s">
        <v>10</v>
      </c>
      <c r="D8" s="47">
        <v>4.7</v>
      </c>
      <c r="E8" s="47">
        <v>17.899999999999999</v>
      </c>
      <c r="F8" s="47">
        <v>5.92</v>
      </c>
      <c r="G8" s="47">
        <v>0</v>
      </c>
      <c r="H8" s="47">
        <v>48.58</v>
      </c>
      <c r="I8" s="47">
        <v>2.66</v>
      </c>
      <c r="J8" s="47">
        <v>0</v>
      </c>
      <c r="K8" s="47">
        <v>11.02</v>
      </c>
      <c r="L8" s="47">
        <v>3.24</v>
      </c>
      <c r="M8" s="47">
        <v>0</v>
      </c>
      <c r="N8" s="47">
        <v>1.1200000000000001</v>
      </c>
      <c r="O8" s="12">
        <f>SUM(D8:N8)</f>
        <v>95.139999999999986</v>
      </c>
    </row>
    <row r="9" spans="3:15">
      <c r="C9" s="9" t="s">
        <v>11</v>
      </c>
      <c r="D9" s="47">
        <v>4.62</v>
      </c>
      <c r="E9" s="47">
        <v>15.74</v>
      </c>
      <c r="F9" s="47">
        <v>3.18</v>
      </c>
      <c r="G9" s="47">
        <v>0</v>
      </c>
      <c r="H9" s="47">
        <v>43.32</v>
      </c>
      <c r="I9" s="47">
        <v>0.48</v>
      </c>
      <c r="J9" s="47">
        <v>0</v>
      </c>
      <c r="K9" s="47">
        <v>9.02</v>
      </c>
      <c r="L9" s="47">
        <v>2.2999999999999998</v>
      </c>
      <c r="M9" s="47">
        <v>0</v>
      </c>
      <c r="N9" s="52">
        <v>0.52</v>
      </c>
      <c r="O9" s="12">
        <f t="shared" si="0"/>
        <v>79.179999999999993</v>
      </c>
    </row>
    <row r="10" spans="3:15">
      <c r="C10" s="9" t="s">
        <v>12</v>
      </c>
      <c r="D10" s="47">
        <v>5.0999999999999996</v>
      </c>
      <c r="E10" s="47">
        <v>16.32</v>
      </c>
      <c r="F10" s="47">
        <v>2.56</v>
      </c>
      <c r="G10" s="47">
        <v>0</v>
      </c>
      <c r="H10" s="47">
        <v>55.26</v>
      </c>
      <c r="I10" s="47">
        <v>15.72</v>
      </c>
      <c r="J10" s="47">
        <v>0</v>
      </c>
      <c r="K10" s="47">
        <v>8.9</v>
      </c>
      <c r="L10" s="47">
        <v>3.18</v>
      </c>
      <c r="M10" s="47">
        <v>0</v>
      </c>
      <c r="N10" s="52">
        <v>7.34</v>
      </c>
      <c r="O10" s="12">
        <f t="shared" si="0"/>
        <v>114.38000000000001</v>
      </c>
    </row>
    <row r="11" spans="3:15">
      <c r="C11" s="9" t="s">
        <v>14</v>
      </c>
      <c r="D11" s="47">
        <v>4.58</v>
      </c>
      <c r="E11" s="47">
        <v>17.079999999999998</v>
      </c>
      <c r="F11" s="47">
        <v>1.78</v>
      </c>
      <c r="G11" s="47">
        <v>0</v>
      </c>
      <c r="H11" s="47">
        <v>54</v>
      </c>
      <c r="I11" s="47">
        <v>4.22</v>
      </c>
      <c r="J11" s="47">
        <v>0</v>
      </c>
      <c r="K11" s="47">
        <v>11.86</v>
      </c>
      <c r="L11" s="47">
        <v>3.82</v>
      </c>
      <c r="M11" s="47">
        <v>0</v>
      </c>
      <c r="N11" s="52">
        <v>1.02</v>
      </c>
      <c r="O11" s="12">
        <f t="shared" si="0"/>
        <v>98.359999999999985</v>
      </c>
    </row>
    <row r="12" spans="3:15">
      <c r="C12" s="9" t="s">
        <v>15</v>
      </c>
      <c r="D12" s="47">
        <v>4.66</v>
      </c>
      <c r="E12" s="47">
        <v>16.079999999999998</v>
      </c>
      <c r="F12" s="47">
        <v>1.98</v>
      </c>
      <c r="G12" s="47">
        <v>0</v>
      </c>
      <c r="H12" s="47">
        <v>58.36</v>
      </c>
      <c r="I12" s="47">
        <v>0.9</v>
      </c>
      <c r="J12" s="47">
        <v>0</v>
      </c>
      <c r="K12" s="47">
        <v>10.82</v>
      </c>
      <c r="L12" s="47">
        <v>3.1</v>
      </c>
      <c r="M12" s="47">
        <v>0</v>
      </c>
      <c r="N12" s="52">
        <v>0.57999999999999996</v>
      </c>
      <c r="O12" s="12">
        <f t="shared" si="0"/>
        <v>96.48</v>
      </c>
    </row>
    <row r="13" spans="3:15">
      <c r="C13" s="9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1"/>
      <c r="O13" s="12">
        <f t="shared" si="0"/>
        <v>0</v>
      </c>
    </row>
    <row r="14" spans="3:15">
      <c r="C14" s="9" t="s">
        <v>17</v>
      </c>
      <c r="D14" s="10"/>
      <c r="E14" s="43"/>
      <c r="F14" s="10"/>
      <c r="G14" s="10"/>
      <c r="H14" s="10"/>
      <c r="I14" s="10"/>
      <c r="J14" s="10"/>
      <c r="K14" s="10"/>
      <c r="L14" s="10"/>
      <c r="M14" s="44"/>
      <c r="N14" s="44"/>
      <c r="O14" s="12">
        <f t="shared" si="0"/>
        <v>0</v>
      </c>
    </row>
    <row r="15" spans="3:15">
      <c r="C15" s="9" t="s">
        <v>18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>
        <f t="shared" si="0"/>
        <v>0</v>
      </c>
    </row>
    <row r="16" spans="3:15">
      <c r="C16" s="9" t="s">
        <v>19</v>
      </c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1"/>
      <c r="O16" s="12">
        <f t="shared" si="0"/>
        <v>0</v>
      </c>
    </row>
    <row r="17" spans="3:15" ht="45">
      <c r="C17" s="13" t="s">
        <v>21</v>
      </c>
      <c r="D17" s="14">
        <f>SUM(D5:D16)</f>
        <v>34.36</v>
      </c>
      <c r="E17" s="14">
        <f t="shared" ref="E17:M17" si="1">SUM(E5:E16)</f>
        <v>137.84</v>
      </c>
      <c r="F17" s="14">
        <f>SUM(F5:F16)</f>
        <v>47.58</v>
      </c>
      <c r="G17" s="14">
        <f t="shared" si="1"/>
        <v>0</v>
      </c>
      <c r="H17" s="14">
        <f t="shared" si="1"/>
        <v>388.82</v>
      </c>
      <c r="I17" s="14">
        <f t="shared" si="1"/>
        <v>37.82</v>
      </c>
      <c r="J17" s="14">
        <f t="shared" si="1"/>
        <v>0.1</v>
      </c>
      <c r="K17" s="14">
        <f t="shared" si="1"/>
        <v>74.039999999999992</v>
      </c>
      <c r="L17" s="14">
        <f t="shared" si="1"/>
        <v>24.48</v>
      </c>
      <c r="M17" s="14">
        <f t="shared" si="1"/>
        <v>0</v>
      </c>
      <c r="N17" s="14">
        <f>SUM(N5:N16)</f>
        <v>18.659999999999997</v>
      </c>
      <c r="O17" s="32">
        <f>SUM(O5:O16)</f>
        <v>763.7</v>
      </c>
    </row>
    <row r="19" spans="3:15">
      <c r="C19" t="s">
        <v>62</v>
      </c>
    </row>
    <row r="20" spans="3:15" ht="60">
      <c r="C20" s="2" t="s">
        <v>0</v>
      </c>
      <c r="D20" s="3" t="s">
        <v>22</v>
      </c>
      <c r="E20" s="4" t="s">
        <v>23</v>
      </c>
      <c r="F20" s="5" t="s">
        <v>51</v>
      </c>
      <c r="G20" s="6" t="s">
        <v>24</v>
      </c>
      <c r="H20" s="21" t="s">
        <v>25</v>
      </c>
      <c r="I20" s="6" t="s">
        <v>26</v>
      </c>
      <c r="J20" s="6" t="s">
        <v>27</v>
      </c>
      <c r="K20" s="7" t="s">
        <v>28</v>
      </c>
      <c r="L20" s="8" t="s">
        <v>29</v>
      </c>
      <c r="M20" s="6" t="s">
        <v>30</v>
      </c>
      <c r="N20" s="6" t="s">
        <v>52</v>
      </c>
      <c r="O20" s="6" t="s">
        <v>31</v>
      </c>
    </row>
    <row r="21" spans="3:15">
      <c r="C21" s="9" t="s">
        <v>3</v>
      </c>
      <c r="D21" s="10">
        <v>2.14</v>
      </c>
      <c r="E21" s="10">
        <v>13.98</v>
      </c>
      <c r="F21" s="10">
        <v>15.46</v>
      </c>
      <c r="G21" s="10">
        <v>0</v>
      </c>
      <c r="H21" s="10">
        <v>39.08</v>
      </c>
      <c r="I21" s="10">
        <v>0.36</v>
      </c>
      <c r="J21" s="10">
        <v>0</v>
      </c>
      <c r="K21" s="10">
        <v>9.4</v>
      </c>
      <c r="L21" s="10">
        <v>2.2400000000000002</v>
      </c>
      <c r="M21" s="10">
        <v>0</v>
      </c>
      <c r="N21" s="10">
        <v>0</v>
      </c>
      <c r="O21" s="12">
        <f>SUM(D21:N21)</f>
        <v>82.66</v>
      </c>
    </row>
    <row r="22" spans="3:15">
      <c r="C22" s="9" t="s">
        <v>7</v>
      </c>
      <c r="D22" s="10">
        <v>2.02</v>
      </c>
      <c r="E22" s="10">
        <v>12.54</v>
      </c>
      <c r="F22" s="10">
        <v>12.66</v>
      </c>
      <c r="G22" s="10">
        <v>0</v>
      </c>
      <c r="H22" s="10">
        <v>35.299999999999997</v>
      </c>
      <c r="I22" s="10">
        <v>0.3</v>
      </c>
      <c r="J22" s="10">
        <v>0</v>
      </c>
      <c r="K22" s="10">
        <v>5.48</v>
      </c>
      <c r="L22" s="10">
        <v>1.26</v>
      </c>
      <c r="M22" s="10">
        <v>0</v>
      </c>
      <c r="N22" s="10">
        <v>0</v>
      </c>
      <c r="O22" s="12">
        <f t="shared" ref="O22:O32" si="2">SUM(D22:N22)</f>
        <v>69.56</v>
      </c>
    </row>
    <row r="23" spans="3:15">
      <c r="C23" s="9" t="s">
        <v>8</v>
      </c>
      <c r="D23" s="10">
        <v>1.96</v>
      </c>
      <c r="E23" s="10">
        <v>14.74</v>
      </c>
      <c r="F23" s="10">
        <v>11.98</v>
      </c>
      <c r="G23" s="10">
        <v>0</v>
      </c>
      <c r="H23" s="10">
        <v>39.72</v>
      </c>
      <c r="I23" s="10">
        <v>10.58</v>
      </c>
      <c r="J23" s="10">
        <v>0</v>
      </c>
      <c r="K23" s="10">
        <v>6.86</v>
      </c>
      <c r="L23" s="10">
        <v>1.5</v>
      </c>
      <c r="M23" s="10">
        <v>0.36</v>
      </c>
      <c r="N23" s="10">
        <v>0</v>
      </c>
      <c r="O23" s="12">
        <f t="shared" si="2"/>
        <v>87.7</v>
      </c>
    </row>
    <row r="24" spans="3:15">
      <c r="C24" s="9" t="s">
        <v>10</v>
      </c>
      <c r="D24" s="10">
        <v>3.28</v>
      </c>
      <c r="E24" s="10">
        <v>16.14</v>
      </c>
      <c r="F24" s="10">
        <v>5.92</v>
      </c>
      <c r="G24" s="10">
        <v>0</v>
      </c>
      <c r="H24" s="10">
        <v>47.14</v>
      </c>
      <c r="I24" s="10">
        <v>1.1399999999999999</v>
      </c>
      <c r="J24" s="10">
        <v>0</v>
      </c>
      <c r="K24" s="10">
        <v>9.84</v>
      </c>
      <c r="L24" s="10">
        <v>3</v>
      </c>
      <c r="M24" s="10">
        <v>0.2</v>
      </c>
      <c r="N24" s="10">
        <v>5.86</v>
      </c>
      <c r="O24" s="12">
        <f>SUM(D24:N24)</f>
        <v>92.52000000000001</v>
      </c>
    </row>
    <row r="25" spans="3:15">
      <c r="C25" s="9" t="s">
        <v>11</v>
      </c>
      <c r="D25" s="10">
        <v>2.76</v>
      </c>
      <c r="E25" s="10">
        <v>16.260000000000002</v>
      </c>
      <c r="F25" s="10">
        <v>4.18</v>
      </c>
      <c r="G25" s="10">
        <v>0</v>
      </c>
      <c r="H25" s="10">
        <v>42.86</v>
      </c>
      <c r="I25" s="10">
        <v>0.48</v>
      </c>
      <c r="J25" s="10">
        <v>0</v>
      </c>
      <c r="K25" s="10">
        <v>7.24</v>
      </c>
      <c r="L25" s="10">
        <v>1.6</v>
      </c>
      <c r="M25" s="10">
        <v>0</v>
      </c>
      <c r="N25" s="10">
        <v>0</v>
      </c>
      <c r="O25" s="12">
        <f t="shared" si="2"/>
        <v>75.38</v>
      </c>
    </row>
    <row r="26" spans="3:15">
      <c r="C26" s="9" t="s">
        <v>12</v>
      </c>
      <c r="D26" s="10">
        <v>3.58</v>
      </c>
      <c r="E26" s="10">
        <v>15.36</v>
      </c>
      <c r="F26" s="10">
        <v>1.1399999999999999</v>
      </c>
      <c r="G26" s="10">
        <v>0</v>
      </c>
      <c r="H26" s="10">
        <v>45.98</v>
      </c>
      <c r="I26" s="10">
        <v>11.72</v>
      </c>
      <c r="J26" s="10">
        <v>0.12</v>
      </c>
      <c r="K26" s="10">
        <v>7.82</v>
      </c>
      <c r="L26" s="10">
        <v>1.8</v>
      </c>
      <c r="M26" s="10">
        <v>0.5</v>
      </c>
      <c r="N26" s="10">
        <v>2.8</v>
      </c>
      <c r="O26" s="12">
        <f t="shared" si="2"/>
        <v>90.82</v>
      </c>
    </row>
    <row r="27" spans="3:15">
      <c r="C27" s="9" t="s">
        <v>14</v>
      </c>
      <c r="D27" s="10">
        <v>3.16</v>
      </c>
      <c r="E27" s="10">
        <v>21.56</v>
      </c>
      <c r="F27" s="10">
        <v>1.9</v>
      </c>
      <c r="G27" s="10">
        <v>0</v>
      </c>
      <c r="H27" s="10">
        <v>45.22</v>
      </c>
      <c r="I27" s="10">
        <v>1.34</v>
      </c>
      <c r="J27" s="10">
        <v>0</v>
      </c>
      <c r="K27" s="10">
        <v>8.42</v>
      </c>
      <c r="L27" s="10">
        <v>1.74</v>
      </c>
      <c r="M27" s="10">
        <v>0</v>
      </c>
      <c r="N27" s="10">
        <v>0</v>
      </c>
      <c r="O27" s="12">
        <f t="shared" si="2"/>
        <v>83.34</v>
      </c>
    </row>
    <row r="28" spans="3:15">
      <c r="C28" s="9" t="s">
        <v>15</v>
      </c>
      <c r="D28" s="10">
        <v>3.64</v>
      </c>
      <c r="E28" s="10">
        <v>17.059999999999999</v>
      </c>
      <c r="F28" s="10">
        <v>1.3</v>
      </c>
      <c r="G28" s="10">
        <v>0</v>
      </c>
      <c r="H28" s="10">
        <v>53.12</v>
      </c>
      <c r="I28" s="10">
        <v>2.04</v>
      </c>
      <c r="J28" s="10">
        <v>0</v>
      </c>
      <c r="K28" s="10">
        <v>11.76</v>
      </c>
      <c r="L28" s="10">
        <v>2.2400000000000002</v>
      </c>
      <c r="M28" s="10">
        <v>0</v>
      </c>
      <c r="N28" s="10">
        <v>0</v>
      </c>
      <c r="O28" s="12">
        <f t="shared" si="2"/>
        <v>91.160000000000011</v>
      </c>
    </row>
    <row r="29" spans="3:15">
      <c r="C29" s="9" t="s">
        <v>16</v>
      </c>
      <c r="D29" s="10">
        <v>2.9</v>
      </c>
      <c r="E29" s="10">
        <v>18.38</v>
      </c>
      <c r="F29" s="10">
        <v>1.8</v>
      </c>
      <c r="G29" s="10">
        <v>0</v>
      </c>
      <c r="H29" s="10">
        <v>55.26</v>
      </c>
      <c r="I29" s="10">
        <v>15.98</v>
      </c>
      <c r="J29" s="10">
        <v>0.08</v>
      </c>
      <c r="K29" s="10">
        <v>8.64</v>
      </c>
      <c r="L29" s="10">
        <v>2.68</v>
      </c>
      <c r="M29" s="11">
        <v>0.16</v>
      </c>
      <c r="N29" s="11">
        <v>5.94</v>
      </c>
      <c r="O29" s="12">
        <f t="shared" si="2"/>
        <v>111.82000000000001</v>
      </c>
    </row>
    <row r="30" spans="3:15">
      <c r="C30" s="9" t="s">
        <v>17</v>
      </c>
      <c r="D30" s="10">
        <v>3.62</v>
      </c>
      <c r="E30" s="43">
        <v>15.48</v>
      </c>
      <c r="F30" s="10">
        <v>7.74</v>
      </c>
      <c r="G30" s="10">
        <v>0</v>
      </c>
      <c r="H30" s="10">
        <v>42.8</v>
      </c>
      <c r="I30" s="10">
        <v>0.94</v>
      </c>
      <c r="J30" s="10">
        <v>0</v>
      </c>
      <c r="K30" s="10">
        <v>8.86</v>
      </c>
      <c r="L30" s="10">
        <v>1.92</v>
      </c>
      <c r="M30" s="44">
        <v>0</v>
      </c>
      <c r="N30" s="44">
        <v>0</v>
      </c>
      <c r="O30" s="12">
        <f t="shared" si="2"/>
        <v>81.36</v>
      </c>
    </row>
    <row r="31" spans="3:15">
      <c r="C31" s="9" t="s">
        <v>18</v>
      </c>
      <c r="D31" s="10">
        <v>4.4800000000000004</v>
      </c>
      <c r="E31" s="10">
        <v>13.54</v>
      </c>
      <c r="F31" s="10">
        <v>8.14</v>
      </c>
      <c r="G31" s="10">
        <v>0</v>
      </c>
      <c r="H31" s="10">
        <v>34.18</v>
      </c>
      <c r="I31" s="10">
        <v>1.06</v>
      </c>
      <c r="J31" s="10">
        <v>0</v>
      </c>
      <c r="K31" s="10">
        <v>5.92</v>
      </c>
      <c r="L31" s="10">
        <v>1.08</v>
      </c>
      <c r="M31" s="10">
        <v>0</v>
      </c>
      <c r="N31" s="10">
        <v>0</v>
      </c>
      <c r="O31" s="12">
        <f t="shared" si="2"/>
        <v>68.400000000000006</v>
      </c>
    </row>
    <row r="32" spans="3:15">
      <c r="C32" s="9" t="s">
        <v>19</v>
      </c>
      <c r="D32" s="10">
        <v>3.94</v>
      </c>
      <c r="E32" s="10">
        <v>20.36</v>
      </c>
      <c r="F32" s="10">
        <v>11.58</v>
      </c>
      <c r="G32" s="10">
        <v>0</v>
      </c>
      <c r="H32" s="10">
        <v>41.42</v>
      </c>
      <c r="I32" s="10">
        <v>10.82</v>
      </c>
      <c r="J32" s="10">
        <v>0</v>
      </c>
      <c r="K32" s="10">
        <v>6.66</v>
      </c>
      <c r="L32" s="10">
        <v>2.64</v>
      </c>
      <c r="M32" s="11">
        <v>0</v>
      </c>
      <c r="N32" s="11">
        <v>1.82</v>
      </c>
      <c r="O32" s="12">
        <f t="shared" si="2"/>
        <v>99.24</v>
      </c>
    </row>
    <row r="33" spans="3:15" ht="45">
      <c r="C33" s="13" t="s">
        <v>21</v>
      </c>
      <c r="D33" s="14">
        <f>SUM(D21:D32)</f>
        <v>37.479999999999997</v>
      </c>
      <c r="E33" s="14">
        <f t="shared" ref="E33:M33" si="3">SUM(E21:E32)</f>
        <v>195.39999999999998</v>
      </c>
      <c r="F33" s="14">
        <f>SUM(F21:F32)</f>
        <v>83.8</v>
      </c>
      <c r="G33" s="14">
        <f t="shared" si="3"/>
        <v>0</v>
      </c>
      <c r="H33" s="14">
        <f t="shared" si="3"/>
        <v>522.08000000000004</v>
      </c>
      <c r="I33" s="14">
        <f t="shared" si="3"/>
        <v>56.76</v>
      </c>
      <c r="J33" s="14">
        <f t="shared" si="3"/>
        <v>0.2</v>
      </c>
      <c r="K33" s="14">
        <f t="shared" si="3"/>
        <v>96.9</v>
      </c>
      <c r="L33" s="14">
        <f t="shared" si="3"/>
        <v>23.700000000000003</v>
      </c>
      <c r="M33" s="14">
        <f t="shared" si="3"/>
        <v>1.22</v>
      </c>
      <c r="N33" s="14">
        <f>SUM(N21:N32)</f>
        <v>16.420000000000002</v>
      </c>
      <c r="O33" s="32">
        <f>SUM(O21:O32)</f>
        <v>1033.96</v>
      </c>
    </row>
  </sheetData>
  <mergeCells count="1">
    <mergeCell ref="D3:E3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20"/>
  <sheetViews>
    <sheetView workbookViewId="0">
      <selection activeCell="K9" sqref="K9"/>
    </sheetView>
  </sheetViews>
  <sheetFormatPr defaultRowHeight="15"/>
  <cols>
    <col min="2" max="2" width="11.7109375" customWidth="1"/>
    <col min="3" max="3" width="11.85546875" customWidth="1"/>
    <col min="4" max="4" width="13.42578125" customWidth="1"/>
    <col min="5" max="5" width="9.7109375" customWidth="1"/>
    <col min="6" max="6" width="16.28515625" customWidth="1"/>
  </cols>
  <sheetData>
    <row r="2" spans="2:6">
      <c r="B2" t="s">
        <v>61</v>
      </c>
    </row>
    <row r="3" spans="2:6" ht="45" customHeight="1">
      <c r="B3" s="2" t="s">
        <v>0</v>
      </c>
      <c r="C3" s="15" t="s">
        <v>1</v>
      </c>
      <c r="D3" s="15" t="s">
        <v>2</v>
      </c>
      <c r="E3" s="15" t="s">
        <v>49</v>
      </c>
      <c r="F3" s="15" t="s">
        <v>48</v>
      </c>
    </row>
    <row r="4" spans="2:6">
      <c r="B4" s="11" t="s">
        <v>7</v>
      </c>
      <c r="C4" s="16">
        <v>1240</v>
      </c>
      <c r="D4" s="16">
        <v>1339.2</v>
      </c>
      <c r="E4" s="11">
        <v>121.6</v>
      </c>
      <c r="F4" s="11">
        <v>2</v>
      </c>
    </row>
    <row r="5" spans="2:6">
      <c r="B5" s="11" t="s">
        <v>10</v>
      </c>
      <c r="C5" s="49">
        <v>1284</v>
      </c>
      <c r="D5" s="50">
        <v>1386.72</v>
      </c>
      <c r="E5" s="51">
        <v>124.8</v>
      </c>
      <c r="F5" s="46">
        <v>3</v>
      </c>
    </row>
    <row r="6" spans="2:6">
      <c r="B6" s="11" t="s">
        <v>12</v>
      </c>
      <c r="C6" s="51">
        <v>1224</v>
      </c>
      <c r="D6" s="51">
        <v>1321.92</v>
      </c>
      <c r="E6" s="46">
        <v>120.6</v>
      </c>
      <c r="F6" s="46">
        <v>1.5</v>
      </c>
    </row>
    <row r="7" spans="2:6">
      <c r="B7" s="11" t="s">
        <v>15</v>
      </c>
      <c r="C7" s="51">
        <v>825</v>
      </c>
      <c r="D7" s="51">
        <v>891</v>
      </c>
      <c r="E7" s="46">
        <v>80.099999999999994</v>
      </c>
      <c r="F7" s="46">
        <v>2</v>
      </c>
    </row>
    <row r="8" spans="2:6">
      <c r="B8" s="11" t="s">
        <v>17</v>
      </c>
      <c r="C8" s="16"/>
      <c r="D8" s="16"/>
      <c r="E8" s="11"/>
      <c r="F8" s="11"/>
    </row>
    <row r="9" spans="2:6">
      <c r="B9" s="11" t="s">
        <v>19</v>
      </c>
      <c r="C9" s="16"/>
      <c r="D9" s="16"/>
      <c r="E9" s="11"/>
      <c r="F9" s="11"/>
    </row>
    <row r="10" spans="2:6">
      <c r="B10" s="17" t="s">
        <v>20</v>
      </c>
      <c r="C10" s="18">
        <f>SUM(C4:C9)</f>
        <v>4573</v>
      </c>
      <c r="D10" s="18">
        <f>SUM(D4:D9)</f>
        <v>4938.84</v>
      </c>
      <c r="E10" s="18">
        <f t="shared" ref="E10:F10" si="0">SUM(E4:E9)</f>
        <v>447.1</v>
      </c>
      <c r="F10" s="40">
        <f t="shared" si="0"/>
        <v>8.5</v>
      </c>
    </row>
    <row r="11" spans="2:6">
      <c r="B11" s="1"/>
      <c r="C11" s="1"/>
      <c r="D11" s="1"/>
      <c r="E11" s="1"/>
    </row>
    <row r="12" spans="2:6">
      <c r="B12" s="1" t="s">
        <v>62</v>
      </c>
    </row>
    <row r="13" spans="2:6" ht="30">
      <c r="B13" s="2" t="s">
        <v>0</v>
      </c>
      <c r="C13" s="15" t="s">
        <v>1</v>
      </c>
      <c r="D13" s="15" t="s">
        <v>2</v>
      </c>
      <c r="E13" s="15" t="s">
        <v>49</v>
      </c>
      <c r="F13" s="15" t="s">
        <v>48</v>
      </c>
    </row>
    <row r="14" spans="2:6">
      <c r="B14" s="11" t="s">
        <v>7</v>
      </c>
      <c r="C14" s="16">
        <v>921</v>
      </c>
      <c r="D14" s="16">
        <v>994.68</v>
      </c>
      <c r="E14" s="11">
        <v>89.7</v>
      </c>
      <c r="F14" s="11">
        <v>2</v>
      </c>
    </row>
    <row r="15" spans="2:6">
      <c r="B15" s="11" t="s">
        <v>10</v>
      </c>
      <c r="C15" s="41">
        <v>976.4</v>
      </c>
      <c r="D15" s="53">
        <v>1054.51</v>
      </c>
      <c r="E15" s="16">
        <v>95</v>
      </c>
      <c r="F15" s="11">
        <v>2.2000000000000002</v>
      </c>
    </row>
    <row r="16" spans="2:6">
      <c r="B16" s="11" t="s">
        <v>12</v>
      </c>
      <c r="C16" s="16">
        <v>868</v>
      </c>
      <c r="D16" s="16">
        <v>937.44</v>
      </c>
      <c r="E16" s="11">
        <v>83.2</v>
      </c>
      <c r="F16" s="11">
        <v>3</v>
      </c>
    </row>
    <row r="17" spans="2:6">
      <c r="B17" s="11" t="s">
        <v>15</v>
      </c>
      <c r="C17" s="16">
        <v>1208</v>
      </c>
      <c r="D17" s="16">
        <v>1304.6400000000001</v>
      </c>
      <c r="E17" s="11">
        <v>118.4</v>
      </c>
      <c r="F17" s="11">
        <v>2</v>
      </c>
    </row>
    <row r="18" spans="2:6">
      <c r="B18" s="11" t="s">
        <v>17</v>
      </c>
      <c r="C18" s="16">
        <v>1289</v>
      </c>
      <c r="D18" s="16">
        <v>1392.12</v>
      </c>
      <c r="E18" s="11">
        <v>126.5</v>
      </c>
      <c r="F18" s="11">
        <v>2</v>
      </c>
    </row>
    <row r="19" spans="2:6">
      <c r="B19" s="11" t="s">
        <v>19</v>
      </c>
      <c r="C19" s="16">
        <v>1243</v>
      </c>
      <c r="D19" s="16">
        <v>1342.44</v>
      </c>
      <c r="E19" s="11">
        <v>121.9</v>
      </c>
      <c r="F19" s="11">
        <v>2</v>
      </c>
    </row>
    <row r="20" spans="2:6">
      <c r="B20" s="17" t="s">
        <v>20</v>
      </c>
      <c r="C20" s="18">
        <f>SUM(C14:C19)</f>
        <v>6505.4</v>
      </c>
      <c r="D20" s="18">
        <f>SUM(D14:D19)</f>
        <v>7025.83</v>
      </c>
      <c r="E20" s="18">
        <f t="shared" ref="E20:F20" si="1">SUM(E14:E19)</f>
        <v>634.69999999999993</v>
      </c>
      <c r="F20" s="40">
        <f t="shared" si="1"/>
        <v>13.2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949B-29EA-45A1-8E4D-7194AE59167B}">
  <dimension ref="D1:AG52"/>
  <sheetViews>
    <sheetView topLeftCell="A19" workbookViewId="0">
      <selection activeCell="K20" sqref="K20"/>
    </sheetView>
  </sheetViews>
  <sheetFormatPr defaultRowHeight="15"/>
  <cols>
    <col min="3" max="3" width="4.7109375" customWidth="1"/>
    <col min="4" max="4" width="40.140625" customWidth="1"/>
    <col min="5" max="5" width="12.42578125" customWidth="1"/>
    <col min="6" max="6" width="11.28515625" customWidth="1"/>
    <col min="7" max="7" width="11.5703125" customWidth="1"/>
    <col min="8" max="8" width="10.85546875" customWidth="1"/>
    <col min="10" max="10" width="11.28515625" customWidth="1"/>
    <col min="14" max="14" width="11.5703125" customWidth="1"/>
    <col min="20" max="20" width="43.7109375" customWidth="1"/>
    <col min="30" max="30" width="12.7109375" customWidth="1"/>
    <col min="35" max="35" width="9.140625" customWidth="1"/>
  </cols>
  <sheetData>
    <row r="1" spans="4:18">
      <c r="D1" s="87" t="s">
        <v>72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3" spans="4:18">
      <c r="D3" s="57" t="s">
        <v>61</v>
      </c>
    </row>
    <row r="4" spans="4:18" ht="75">
      <c r="D4" s="2" t="s">
        <v>4</v>
      </c>
      <c r="E4" s="2" t="s">
        <v>5</v>
      </c>
      <c r="F4" s="2" t="s">
        <v>7</v>
      </c>
      <c r="G4" s="2" t="s">
        <v>8</v>
      </c>
      <c r="H4" s="2" t="s">
        <v>10</v>
      </c>
      <c r="I4" s="2" t="s">
        <v>11</v>
      </c>
      <c r="J4" s="2" t="s">
        <v>12</v>
      </c>
      <c r="K4" s="2" t="s">
        <v>14</v>
      </c>
      <c r="L4" s="2" t="s">
        <v>15</v>
      </c>
      <c r="M4" s="2" t="s">
        <v>16</v>
      </c>
      <c r="N4" s="2" t="s">
        <v>17</v>
      </c>
      <c r="O4" s="2" t="s">
        <v>18</v>
      </c>
      <c r="P4" s="2" t="s">
        <v>19</v>
      </c>
      <c r="Q4" s="34" t="s">
        <v>36</v>
      </c>
    </row>
    <row r="5" spans="4:18">
      <c r="D5" s="2" t="s">
        <v>63</v>
      </c>
      <c r="E5" s="56">
        <v>0.55000000000000004</v>
      </c>
      <c r="F5" s="56">
        <v>0</v>
      </c>
      <c r="G5" s="56">
        <v>0</v>
      </c>
      <c r="H5" s="56">
        <v>0</v>
      </c>
      <c r="I5" s="56">
        <v>0</v>
      </c>
      <c r="J5" s="56">
        <v>0</v>
      </c>
      <c r="K5" s="56">
        <v>0</v>
      </c>
      <c r="L5" s="56">
        <v>0</v>
      </c>
      <c r="M5" s="56"/>
      <c r="N5" s="2"/>
      <c r="O5" s="2"/>
      <c r="P5" s="2"/>
      <c r="Q5" s="14">
        <f>SUM(E5:P5)</f>
        <v>0.55000000000000004</v>
      </c>
    </row>
    <row r="6" spans="4:18">
      <c r="D6" s="22" t="s">
        <v>38</v>
      </c>
      <c r="E6" s="56">
        <v>0.374</v>
      </c>
      <c r="F6" s="56">
        <v>0.128</v>
      </c>
      <c r="G6" s="56">
        <v>0.27600000000000002</v>
      </c>
      <c r="H6" s="56">
        <v>0.61399999999999999</v>
      </c>
      <c r="I6" s="56">
        <v>0.94799999999999995</v>
      </c>
      <c r="J6" s="56">
        <v>0.44600000000000001</v>
      </c>
      <c r="K6" s="56">
        <v>0.69099999999999995</v>
      </c>
      <c r="L6" s="56">
        <v>0.69</v>
      </c>
      <c r="M6" s="23"/>
      <c r="N6" s="23"/>
      <c r="O6" s="23"/>
      <c r="P6" s="23"/>
      <c r="Q6" s="14">
        <f>SUM(E6:P6)</f>
        <v>4.1669999999999998</v>
      </c>
    </row>
    <row r="7" spans="4:18">
      <c r="D7" s="24" t="s">
        <v>53</v>
      </c>
      <c r="E7" s="56">
        <v>0.32400000000000001</v>
      </c>
      <c r="F7" s="56">
        <v>0.27200000000000002</v>
      </c>
      <c r="G7" s="56">
        <v>2.1930000000000001</v>
      </c>
      <c r="H7" s="56">
        <v>3.83</v>
      </c>
      <c r="I7" s="56">
        <v>3.3210000000000002</v>
      </c>
      <c r="J7" s="56">
        <v>2.9670000000000001</v>
      </c>
      <c r="K7" s="56">
        <v>3.3319999999999999</v>
      </c>
      <c r="L7" s="56">
        <v>2.8730000000000002</v>
      </c>
      <c r="M7" s="23"/>
      <c r="N7" s="23"/>
      <c r="O7" s="23"/>
      <c r="P7" s="23"/>
      <c r="Q7" s="14">
        <f t="shared" ref="Q7:Q19" si="0">SUM(E7:P7)</f>
        <v>19.112000000000002</v>
      </c>
    </row>
    <row r="8" spans="4:18">
      <c r="D8" s="24" t="s">
        <v>56</v>
      </c>
      <c r="E8" s="56">
        <v>19.797000000000001</v>
      </c>
      <c r="F8" s="56">
        <v>16.850999999999999</v>
      </c>
      <c r="G8" s="56">
        <v>60.082000000000001</v>
      </c>
      <c r="H8" s="56">
        <v>74.462000000000003</v>
      </c>
      <c r="I8" s="56">
        <v>58.56</v>
      </c>
      <c r="J8" s="56">
        <v>77.173000000000002</v>
      </c>
      <c r="K8" s="56">
        <v>69.123000000000005</v>
      </c>
      <c r="L8" s="56">
        <v>89.275000000000006</v>
      </c>
      <c r="M8" s="23"/>
      <c r="N8" s="23"/>
      <c r="O8" s="23"/>
      <c r="P8" s="23"/>
      <c r="Q8" s="14">
        <f t="shared" si="0"/>
        <v>465.32299999999998</v>
      </c>
    </row>
    <row r="9" spans="4:18" ht="45">
      <c r="D9" s="13" t="s">
        <v>66</v>
      </c>
      <c r="E9" s="56">
        <v>0</v>
      </c>
      <c r="F9" s="56">
        <v>0</v>
      </c>
      <c r="G9" s="56">
        <v>7.1970000000000001</v>
      </c>
      <c r="H9" s="56">
        <v>9.6709999999999994</v>
      </c>
      <c r="I9" s="56">
        <v>6.0869999999999997</v>
      </c>
      <c r="J9" s="56">
        <v>5.4710000000000001</v>
      </c>
      <c r="K9" s="56">
        <v>4.3479999999999999</v>
      </c>
      <c r="L9" s="56">
        <v>6.867</v>
      </c>
      <c r="M9" s="23"/>
      <c r="N9" s="23"/>
      <c r="O9" s="23"/>
      <c r="P9" s="23"/>
      <c r="Q9" s="14">
        <f>SUM(E9:P9)</f>
        <v>39.640999999999998</v>
      </c>
    </row>
    <row r="10" spans="4:18">
      <c r="D10" s="25" t="s">
        <v>39</v>
      </c>
      <c r="E10" s="56">
        <v>1.4650000000000001</v>
      </c>
      <c r="F10" s="56">
        <v>0.97199999999999998</v>
      </c>
      <c r="G10" s="56">
        <v>3.4940000000000002</v>
      </c>
      <c r="H10" s="56">
        <v>2.7989999999999999</v>
      </c>
      <c r="I10" s="56">
        <v>3.077</v>
      </c>
      <c r="J10" s="56">
        <v>3.1539999999999999</v>
      </c>
      <c r="K10" s="56">
        <v>3.18</v>
      </c>
      <c r="L10" s="56">
        <v>3.8580000000000001</v>
      </c>
      <c r="M10" s="23"/>
      <c r="N10" s="23"/>
      <c r="O10" s="23"/>
      <c r="P10" s="23"/>
      <c r="Q10" s="14">
        <f t="shared" si="0"/>
        <v>21.999000000000002</v>
      </c>
    </row>
    <row r="11" spans="4:18" ht="12" customHeight="1">
      <c r="D11" s="45" t="s">
        <v>55</v>
      </c>
      <c r="E11" s="56">
        <v>0.84699999999999998</v>
      </c>
      <c r="F11" s="56">
        <v>1.23</v>
      </c>
      <c r="G11" s="56">
        <v>3.3839999999999999</v>
      </c>
      <c r="H11" s="56">
        <v>2.7450000000000001</v>
      </c>
      <c r="I11" s="56">
        <v>3.3420000000000001</v>
      </c>
      <c r="J11" s="56">
        <v>3.4369999999999998</v>
      </c>
      <c r="K11" s="56">
        <v>5.2430000000000003</v>
      </c>
      <c r="L11" s="56">
        <v>5.1449999999999996</v>
      </c>
      <c r="M11" s="23"/>
      <c r="N11" s="23"/>
      <c r="O11" s="23"/>
      <c r="P11" s="23"/>
      <c r="Q11" s="14">
        <f t="shared" si="0"/>
        <v>25.373000000000001</v>
      </c>
    </row>
    <row r="12" spans="4:18" ht="26.25" customHeight="1">
      <c r="D12" s="45" t="s">
        <v>64</v>
      </c>
      <c r="E12" s="56">
        <v>1E-3</v>
      </c>
      <c r="F12" s="56">
        <v>5.0000000000000001E-3</v>
      </c>
      <c r="G12" s="56">
        <v>5.0000000000000001E-3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23"/>
      <c r="N12" s="23"/>
      <c r="O12" s="23"/>
      <c r="P12" s="23"/>
      <c r="Q12" s="14">
        <f t="shared" si="0"/>
        <v>1.0999999999999999E-2</v>
      </c>
    </row>
    <row r="13" spans="4:18" ht="28.5" customHeight="1">
      <c r="D13" s="13" t="s">
        <v>44</v>
      </c>
      <c r="E13" s="56">
        <v>0.47</v>
      </c>
      <c r="F13" s="56">
        <v>0.35699999999999998</v>
      </c>
      <c r="G13" s="56">
        <v>1.964</v>
      </c>
      <c r="H13" s="56">
        <v>1.2130000000000001</v>
      </c>
      <c r="I13" s="56">
        <v>2.3210000000000002</v>
      </c>
      <c r="J13" s="56">
        <v>2.363</v>
      </c>
      <c r="K13" s="56">
        <v>3.9390000000000001</v>
      </c>
      <c r="L13" s="56">
        <v>2.7250000000000001</v>
      </c>
      <c r="M13" s="23"/>
      <c r="N13" s="23"/>
      <c r="O13" s="23"/>
      <c r="P13" s="23"/>
      <c r="Q13" s="14">
        <f t="shared" si="0"/>
        <v>15.351999999999999</v>
      </c>
    </row>
    <row r="14" spans="4:18" ht="18.75" customHeight="1">
      <c r="D14" s="29" t="s">
        <v>67</v>
      </c>
      <c r="E14" s="56">
        <v>1.35</v>
      </c>
      <c r="F14" s="56">
        <v>1.9379999999999999</v>
      </c>
      <c r="G14" s="56">
        <v>1.276</v>
      </c>
      <c r="H14" s="56">
        <v>0.23300000000000001</v>
      </c>
      <c r="I14" s="56">
        <v>0.79500000000000004</v>
      </c>
      <c r="J14" s="56">
        <v>3.3460000000000001</v>
      </c>
      <c r="K14" s="56">
        <v>5.1109999999999998</v>
      </c>
      <c r="L14" s="56">
        <v>2.3319999999999999</v>
      </c>
      <c r="M14" s="23"/>
      <c r="N14" s="23"/>
      <c r="O14" s="23"/>
      <c r="P14" s="23"/>
      <c r="Q14" s="14">
        <f t="shared" si="0"/>
        <v>16.381</v>
      </c>
    </row>
    <row r="15" spans="4:18" ht="18" customHeight="1">
      <c r="D15" s="54" t="s">
        <v>65</v>
      </c>
      <c r="E15" s="56">
        <v>0.23899999999999999</v>
      </c>
      <c r="F15" s="56">
        <v>0.24099999999999999</v>
      </c>
      <c r="G15" s="56">
        <v>0.67700000000000005</v>
      </c>
      <c r="H15" s="56">
        <v>0.82499999999999996</v>
      </c>
      <c r="I15" s="56">
        <v>0.60499999999999998</v>
      </c>
      <c r="J15" s="56">
        <v>0.58199999999999996</v>
      </c>
      <c r="K15" s="56">
        <v>1.409</v>
      </c>
      <c r="L15" s="56">
        <v>1.7170000000000001</v>
      </c>
      <c r="M15" s="23"/>
      <c r="N15" s="23"/>
      <c r="O15" s="23"/>
      <c r="P15" s="23"/>
      <c r="Q15" s="14">
        <f t="shared" si="0"/>
        <v>6.2949999999999999</v>
      </c>
    </row>
    <row r="16" spans="4:18" ht="30.75" customHeight="1">
      <c r="D16" s="26" t="s">
        <v>40</v>
      </c>
      <c r="E16" s="56">
        <v>8.0000000000000002E-3</v>
      </c>
      <c r="F16" s="56">
        <v>0.68</v>
      </c>
      <c r="G16" s="56">
        <v>11.946999999999999</v>
      </c>
      <c r="H16" s="56">
        <v>10.416</v>
      </c>
      <c r="I16" s="56">
        <v>7.29</v>
      </c>
      <c r="J16" s="56">
        <v>17.541</v>
      </c>
      <c r="K16" s="56">
        <v>9.6850000000000005</v>
      </c>
      <c r="L16" s="56">
        <v>10.06</v>
      </c>
      <c r="M16" s="23"/>
      <c r="N16" s="23"/>
      <c r="O16" s="23"/>
      <c r="P16" s="23"/>
      <c r="Q16" s="14">
        <f t="shared" si="0"/>
        <v>67.62700000000001</v>
      </c>
    </row>
    <row r="17" spans="4:33">
      <c r="D17" s="27" t="s">
        <v>54</v>
      </c>
      <c r="E17" s="56">
        <v>0.28000000000000003</v>
      </c>
      <c r="F17" s="23">
        <v>0.3</v>
      </c>
      <c r="G17" s="56">
        <v>0.02</v>
      </c>
      <c r="H17" s="56">
        <v>0.89800000000000002</v>
      </c>
      <c r="I17" s="56">
        <v>0.44</v>
      </c>
      <c r="J17" s="56">
        <v>0</v>
      </c>
      <c r="K17" s="56">
        <v>0.04</v>
      </c>
      <c r="L17" s="56">
        <v>26.905000000000001</v>
      </c>
      <c r="M17" s="23"/>
      <c r="N17" s="23"/>
      <c r="O17" s="23"/>
      <c r="P17" s="23"/>
      <c r="Q17" s="14">
        <f t="shared" si="0"/>
        <v>28.883000000000003</v>
      </c>
    </row>
    <row r="18" spans="4:33" ht="18.75" customHeight="1">
      <c r="D18" s="13" t="s">
        <v>43</v>
      </c>
      <c r="E18" s="56">
        <v>5.0679999999999996</v>
      </c>
      <c r="F18" s="56">
        <v>4.4290000000000003</v>
      </c>
      <c r="G18" s="56">
        <v>20.611000000000001</v>
      </c>
      <c r="H18" s="56">
        <v>26.79</v>
      </c>
      <c r="I18" s="56">
        <v>22.779</v>
      </c>
      <c r="J18" s="56">
        <v>21.338999999999999</v>
      </c>
      <c r="K18" s="56">
        <v>26.975999999999999</v>
      </c>
      <c r="L18" s="56">
        <v>0</v>
      </c>
      <c r="M18" s="23"/>
      <c r="N18" s="23"/>
      <c r="O18" s="23"/>
      <c r="P18" s="23"/>
      <c r="Q18" s="14">
        <f t="shared" si="0"/>
        <v>127.99199999999999</v>
      </c>
    </row>
    <row r="19" spans="4:33" ht="30" customHeight="1">
      <c r="D19" s="13" t="s">
        <v>68</v>
      </c>
      <c r="E19" s="56">
        <v>0</v>
      </c>
      <c r="F19" s="56">
        <v>0</v>
      </c>
      <c r="G19" s="56">
        <v>0</v>
      </c>
      <c r="H19" s="56">
        <v>8.0000000000000002E-3</v>
      </c>
      <c r="I19" s="56">
        <v>0</v>
      </c>
      <c r="J19" s="56">
        <v>0</v>
      </c>
      <c r="K19" s="56">
        <v>0.14000000000000001</v>
      </c>
      <c r="L19" s="56">
        <v>0</v>
      </c>
      <c r="M19" s="23"/>
      <c r="N19" s="23"/>
      <c r="O19" s="23"/>
      <c r="P19" s="23"/>
      <c r="Q19" s="14">
        <f t="shared" si="0"/>
        <v>0.14800000000000002</v>
      </c>
    </row>
    <row r="20" spans="4:33">
      <c r="D20" s="24" t="s">
        <v>35</v>
      </c>
      <c r="E20" s="14">
        <f t="shared" ref="E20:I20" si="1">SUM(E5:E19)</f>
        <v>30.773000000000003</v>
      </c>
      <c r="F20" s="14">
        <f t="shared" si="1"/>
        <v>27.402999999999999</v>
      </c>
      <c r="G20" s="14">
        <f t="shared" si="1"/>
        <v>113.126</v>
      </c>
      <c r="H20" s="14">
        <f t="shared" si="1"/>
        <v>134.50400000000002</v>
      </c>
      <c r="I20" s="14">
        <f t="shared" si="1"/>
        <v>109.565</v>
      </c>
      <c r="J20" s="14">
        <f>SUM(J5:J19)</f>
        <v>137.81899999999999</v>
      </c>
      <c r="K20" s="14">
        <f>SUM(K5:K19)</f>
        <v>133.21699999999998</v>
      </c>
      <c r="L20" s="14">
        <f>SUM(L5:L19)</f>
        <v>152.447</v>
      </c>
      <c r="M20" s="14">
        <f t="shared" ref="M20:P20" si="2">SUM(M5:M18)</f>
        <v>0</v>
      </c>
      <c r="N20" s="14">
        <f t="shared" si="2"/>
        <v>0</v>
      </c>
      <c r="O20" s="14">
        <f t="shared" si="2"/>
        <v>0</v>
      </c>
      <c r="P20" s="14">
        <f t="shared" si="2"/>
        <v>0</v>
      </c>
      <c r="Q20" s="12">
        <f>SUM(E20:P20)</f>
        <v>838.85400000000004</v>
      </c>
    </row>
    <row r="25" spans="4:33">
      <c r="D25" s="57" t="s">
        <v>62</v>
      </c>
      <c r="T25" s="57" t="s">
        <v>70</v>
      </c>
    </row>
    <row r="26" spans="4:33" ht="75">
      <c r="D26" s="2" t="s">
        <v>4</v>
      </c>
      <c r="E26" s="2" t="s">
        <v>5</v>
      </c>
      <c r="F26" s="2" t="s">
        <v>7</v>
      </c>
      <c r="G26" s="2" t="s">
        <v>8</v>
      </c>
      <c r="H26" s="2" t="s">
        <v>10</v>
      </c>
      <c r="I26" s="2" t="s">
        <v>11</v>
      </c>
      <c r="J26" s="2" t="s">
        <v>12</v>
      </c>
      <c r="K26" s="2" t="s">
        <v>14</v>
      </c>
      <c r="L26" s="2" t="s">
        <v>15</v>
      </c>
      <c r="M26" s="2" t="s">
        <v>16</v>
      </c>
      <c r="N26" s="2" t="s">
        <v>17</v>
      </c>
      <c r="O26" s="2" t="s">
        <v>18</v>
      </c>
      <c r="P26" s="2" t="s">
        <v>19</v>
      </c>
      <c r="Q26" s="34" t="s">
        <v>36</v>
      </c>
      <c r="T26" s="2" t="s">
        <v>4</v>
      </c>
      <c r="U26" s="2" t="s">
        <v>5</v>
      </c>
      <c r="V26" s="2" t="s">
        <v>7</v>
      </c>
      <c r="W26" s="2" t="s">
        <v>8</v>
      </c>
      <c r="X26" s="2" t="s">
        <v>10</v>
      </c>
      <c r="Y26" s="2" t="s">
        <v>11</v>
      </c>
      <c r="Z26" s="2" t="s">
        <v>12</v>
      </c>
      <c r="AA26" s="2" t="s">
        <v>14</v>
      </c>
      <c r="AB26" s="2" t="s">
        <v>15</v>
      </c>
      <c r="AC26" s="2" t="s">
        <v>16</v>
      </c>
      <c r="AD26" s="2" t="s">
        <v>17</v>
      </c>
      <c r="AE26" s="2" t="s">
        <v>18</v>
      </c>
      <c r="AF26" s="2" t="s">
        <v>19</v>
      </c>
      <c r="AG26" s="34" t="s">
        <v>36</v>
      </c>
    </row>
    <row r="27" spans="4:33">
      <c r="D27" s="2" t="s">
        <v>63</v>
      </c>
      <c r="E27" s="56">
        <f>2.74+0.56</f>
        <v>3.3000000000000003</v>
      </c>
      <c r="F27" s="56">
        <f>2.96+0.14</f>
        <v>3.1</v>
      </c>
      <c r="G27" s="56">
        <f>3.34+0.66</f>
        <v>4</v>
      </c>
      <c r="H27" s="56">
        <f>4.5+0.9</f>
        <v>5.4</v>
      </c>
      <c r="I27" s="56">
        <f>4.22+1.5</f>
        <v>5.72</v>
      </c>
      <c r="J27" s="56">
        <f>4.54+1.88</f>
        <v>6.42</v>
      </c>
      <c r="K27" s="56">
        <f>6.3+2.58</f>
        <v>8.879999999999999</v>
      </c>
      <c r="L27" s="56">
        <f>8.12+3.08</f>
        <v>11.2</v>
      </c>
      <c r="M27" s="56">
        <f>6.38+0.68</f>
        <v>7.06</v>
      </c>
      <c r="N27" s="56">
        <f>7.34+2.86</f>
        <v>10.199999999999999</v>
      </c>
      <c r="O27" s="56">
        <f>4.7+0.8</f>
        <v>5.5</v>
      </c>
      <c r="P27" s="41">
        <f>4.42+1.16</f>
        <v>5.58</v>
      </c>
      <c r="Q27" s="14">
        <f t="shared" ref="Q27:Q30" si="3">SUM(E27:P27)</f>
        <v>76.36</v>
      </c>
      <c r="T27" s="2" t="s">
        <v>63</v>
      </c>
      <c r="U27" s="56">
        <v>2.74</v>
      </c>
      <c r="V27" s="56">
        <v>2.96</v>
      </c>
      <c r="W27" s="56">
        <v>3.34</v>
      </c>
      <c r="X27" s="56">
        <v>4.5</v>
      </c>
      <c r="Y27" s="56">
        <v>4.22</v>
      </c>
      <c r="Z27" s="56">
        <v>4.54</v>
      </c>
      <c r="AA27" s="56">
        <v>6.3</v>
      </c>
      <c r="AB27" s="56">
        <v>8.1199999999999992</v>
      </c>
      <c r="AC27" s="56">
        <v>6.38</v>
      </c>
      <c r="AD27" s="56">
        <v>7.34</v>
      </c>
      <c r="AE27" s="56">
        <v>4.7</v>
      </c>
      <c r="AF27" s="2">
        <v>4.42</v>
      </c>
      <c r="AG27" s="14">
        <f t="shared" ref="AG27:AG30" si="4">SUM(U27:AF27)</f>
        <v>59.56</v>
      </c>
    </row>
    <row r="28" spans="4:33">
      <c r="D28" s="22" t="s">
        <v>38</v>
      </c>
      <c r="E28" s="56">
        <f>0.42+0.08</f>
        <v>0.5</v>
      </c>
      <c r="F28" s="56">
        <f>0.44+0.16</f>
        <v>0.6</v>
      </c>
      <c r="G28" s="56">
        <f>0.68+0.1</f>
        <v>0.78</v>
      </c>
      <c r="H28" s="56">
        <f>0.62+1.14</f>
        <v>1.7599999999999998</v>
      </c>
      <c r="I28" s="56">
        <f>0.92+0.36</f>
        <v>1.28</v>
      </c>
      <c r="J28" s="56">
        <f>0.98+0.28</f>
        <v>1.26</v>
      </c>
      <c r="K28" s="56">
        <f>0.42+0.84</f>
        <v>1.26</v>
      </c>
      <c r="L28" s="56">
        <f>1.58+0.58</f>
        <v>2.16</v>
      </c>
      <c r="M28" s="23">
        <f>0.74+0.24</f>
        <v>0.98</v>
      </c>
      <c r="N28" s="56">
        <f>0.92+0.04</f>
        <v>0.96000000000000008</v>
      </c>
      <c r="O28" s="56">
        <f>0.94+0.18</f>
        <v>1.1199999999999999</v>
      </c>
      <c r="P28" s="23">
        <f>0.88+0.02</f>
        <v>0.9</v>
      </c>
      <c r="Q28" s="14">
        <f>SUM(E28:P28)</f>
        <v>13.56</v>
      </c>
      <c r="T28" s="22" t="s">
        <v>38</v>
      </c>
      <c r="U28" s="56">
        <v>0.42</v>
      </c>
      <c r="V28" s="56">
        <v>0.44</v>
      </c>
      <c r="W28" s="56">
        <v>0.68</v>
      </c>
      <c r="X28" s="56">
        <v>0.62</v>
      </c>
      <c r="Y28" s="56">
        <v>0.92</v>
      </c>
      <c r="Z28" s="56">
        <v>0.98</v>
      </c>
      <c r="AA28" s="56">
        <v>0.42</v>
      </c>
      <c r="AB28" s="56">
        <v>1.58</v>
      </c>
      <c r="AC28" s="23">
        <v>0.74</v>
      </c>
      <c r="AD28" s="56">
        <v>0.92</v>
      </c>
      <c r="AE28" s="56">
        <v>0.94</v>
      </c>
      <c r="AF28" s="23">
        <v>0.88</v>
      </c>
      <c r="AG28" s="14">
        <f>SUM(U28:AF28)</f>
        <v>9.5400000000000009</v>
      </c>
    </row>
    <row r="29" spans="4:33">
      <c r="D29" s="24" t="s">
        <v>53</v>
      </c>
      <c r="E29" s="56">
        <f>0.66+0.5</f>
        <v>1.1600000000000001</v>
      </c>
      <c r="F29" s="56">
        <f>0.7+0.1</f>
        <v>0.79999999999999993</v>
      </c>
      <c r="G29" s="56">
        <f>1.34+0.34</f>
        <v>1.6800000000000002</v>
      </c>
      <c r="H29" s="56">
        <f>2.56</f>
        <v>2.56</v>
      </c>
      <c r="I29" s="56">
        <f>1.9+0.8</f>
        <v>2.7</v>
      </c>
      <c r="J29" s="56">
        <f>1.5+0.72</f>
        <v>2.2199999999999998</v>
      </c>
      <c r="K29" s="56">
        <f>1.36+0.6</f>
        <v>1.96</v>
      </c>
      <c r="L29" s="56">
        <f>1.16+0.72</f>
        <v>1.88</v>
      </c>
      <c r="M29" s="23">
        <f>1.24+0.06</f>
        <v>1.3</v>
      </c>
      <c r="N29" s="56">
        <f>2.36+0.7</f>
        <v>3.0599999999999996</v>
      </c>
      <c r="O29" s="56">
        <f>1.12+0.32</f>
        <v>1.4400000000000002</v>
      </c>
      <c r="P29" s="23">
        <f>0.8+0.06</f>
        <v>0.8600000000000001</v>
      </c>
      <c r="Q29" s="14">
        <f t="shared" si="3"/>
        <v>21.62</v>
      </c>
      <c r="T29" s="24" t="s">
        <v>53</v>
      </c>
      <c r="U29" s="56">
        <v>0.66</v>
      </c>
      <c r="V29" s="56">
        <v>0.7</v>
      </c>
      <c r="W29" s="56">
        <v>1.34</v>
      </c>
      <c r="X29" s="56">
        <v>2.56</v>
      </c>
      <c r="Y29" s="56">
        <v>1.9</v>
      </c>
      <c r="Z29" s="56">
        <v>1.5</v>
      </c>
      <c r="AA29" s="56">
        <v>1.36</v>
      </c>
      <c r="AB29" s="56">
        <v>1.1599999999999999</v>
      </c>
      <c r="AC29" s="23">
        <v>1.24</v>
      </c>
      <c r="AD29" s="56">
        <v>2.36</v>
      </c>
      <c r="AE29" s="56">
        <v>1.1200000000000001</v>
      </c>
      <c r="AF29" s="23">
        <v>0.8</v>
      </c>
      <c r="AG29" s="14">
        <f t="shared" si="4"/>
        <v>16.7</v>
      </c>
    </row>
    <row r="30" spans="4:33">
      <c r="D30" s="24" t="s">
        <v>56</v>
      </c>
      <c r="E30" s="56">
        <f>36.3+10.72</f>
        <v>47.019999999999996</v>
      </c>
      <c r="F30" s="56">
        <f>40+5.48</f>
        <v>45.480000000000004</v>
      </c>
      <c r="G30" s="56">
        <f>42.36+3.54</f>
        <v>45.9</v>
      </c>
      <c r="H30" s="56">
        <f>65.82+8.64</f>
        <v>74.459999999999994</v>
      </c>
      <c r="I30" s="56">
        <f>60.9+9.52</f>
        <v>70.42</v>
      </c>
      <c r="J30" s="56">
        <f>44.46+14.72</f>
        <v>59.18</v>
      </c>
      <c r="K30" s="56">
        <f>61.54+21.18</f>
        <v>82.72</v>
      </c>
      <c r="L30" s="56">
        <f>70.16+10.6</f>
        <v>80.759999999999991</v>
      </c>
      <c r="M30" s="23">
        <f>82.8+9.44</f>
        <v>92.24</v>
      </c>
      <c r="N30" s="56">
        <f>64.1+10.42</f>
        <v>74.52</v>
      </c>
      <c r="O30" s="56">
        <f>33.82+3.1</f>
        <v>36.92</v>
      </c>
      <c r="P30" s="23">
        <f>39.06+8.72</f>
        <v>47.78</v>
      </c>
      <c r="Q30" s="14">
        <f t="shared" si="3"/>
        <v>757.4</v>
      </c>
      <c r="T30" s="24" t="s">
        <v>56</v>
      </c>
      <c r="U30" s="56">
        <v>36.299999999999997</v>
      </c>
      <c r="V30" s="56">
        <v>40</v>
      </c>
      <c r="W30" s="56">
        <v>42.36</v>
      </c>
      <c r="X30" s="56">
        <v>65.819999999999993</v>
      </c>
      <c r="Y30" s="56">
        <v>60.9</v>
      </c>
      <c r="Z30" s="56">
        <v>44.46</v>
      </c>
      <c r="AA30" s="56">
        <v>61.54</v>
      </c>
      <c r="AB30" s="56">
        <v>70.16</v>
      </c>
      <c r="AC30" s="23">
        <v>82.8</v>
      </c>
      <c r="AD30" s="56">
        <v>64.099999999999994</v>
      </c>
      <c r="AE30" s="56">
        <v>33.82</v>
      </c>
      <c r="AF30" s="23">
        <v>39.06</v>
      </c>
      <c r="AG30" s="14">
        <f t="shared" si="4"/>
        <v>641.31999999999994</v>
      </c>
    </row>
    <row r="31" spans="4:33">
      <c r="D31" s="25" t="s">
        <v>39</v>
      </c>
      <c r="E31" s="56">
        <f>1.76+0.12</f>
        <v>1.88</v>
      </c>
      <c r="F31" s="56">
        <f>1.64+0.24</f>
        <v>1.88</v>
      </c>
      <c r="G31" s="56">
        <f>1.5+0.24</f>
        <v>1.74</v>
      </c>
      <c r="H31" s="56">
        <f>2.2+0.16</f>
        <v>2.3600000000000003</v>
      </c>
      <c r="I31" s="56">
        <f>2.18+0.18</f>
        <v>2.3600000000000003</v>
      </c>
      <c r="J31" s="56">
        <f>2.68+0.32</f>
        <v>3</v>
      </c>
      <c r="K31" s="56">
        <f>3.06+0.86</f>
        <v>3.92</v>
      </c>
      <c r="L31" s="56">
        <f>3.16+0.6</f>
        <v>3.7600000000000002</v>
      </c>
      <c r="M31" s="23">
        <f>2.82+0.5</f>
        <v>3.32</v>
      </c>
      <c r="N31" s="56">
        <f>2.74+0.34</f>
        <v>3.08</v>
      </c>
      <c r="O31" s="56">
        <f>1.56+0.12</f>
        <v>1.6800000000000002</v>
      </c>
      <c r="P31" s="23">
        <f>2.18+0.24</f>
        <v>2.42</v>
      </c>
      <c r="Q31" s="14">
        <f t="shared" ref="Q31:Q36" si="5">SUM(E31:P31)</f>
        <v>31.400000000000006</v>
      </c>
      <c r="T31" s="25" t="s">
        <v>39</v>
      </c>
      <c r="U31" s="56">
        <v>1.76</v>
      </c>
      <c r="V31" s="56">
        <v>1.64</v>
      </c>
      <c r="W31" s="56">
        <v>1.5</v>
      </c>
      <c r="X31" s="56">
        <v>2.2000000000000002</v>
      </c>
      <c r="Y31" s="56">
        <v>2.1800000000000002</v>
      </c>
      <c r="Z31" s="56">
        <v>2.68</v>
      </c>
      <c r="AA31" s="56">
        <v>3.06</v>
      </c>
      <c r="AB31" s="56">
        <v>3.16</v>
      </c>
      <c r="AC31" s="23">
        <v>2.82</v>
      </c>
      <c r="AD31" s="56">
        <v>2.74</v>
      </c>
      <c r="AE31" s="56">
        <v>1.56</v>
      </c>
      <c r="AF31" s="23">
        <v>2.1800000000000002</v>
      </c>
      <c r="AG31" s="14">
        <f t="shared" ref="AG31:AG36" si="6">SUM(U31:AF31)</f>
        <v>27.48</v>
      </c>
    </row>
    <row r="32" spans="4:33" ht="15.75" customHeight="1">
      <c r="D32" s="45" t="s">
        <v>55</v>
      </c>
      <c r="E32" s="56">
        <f>0.96+0.42</f>
        <v>1.38</v>
      </c>
      <c r="F32" s="56">
        <f>2.8+0.72</f>
        <v>3.5199999999999996</v>
      </c>
      <c r="G32" s="56">
        <f>3.38+0.84</f>
        <v>4.22</v>
      </c>
      <c r="H32" s="56">
        <f>3.4+0.7</f>
        <v>4.0999999999999996</v>
      </c>
      <c r="I32" s="56">
        <f>2.68+0.5</f>
        <v>3.18</v>
      </c>
      <c r="J32" s="56">
        <f>2.36+0.68</f>
        <v>3.04</v>
      </c>
      <c r="K32" s="56">
        <f>3.26+1.1</f>
        <v>4.3599999999999994</v>
      </c>
      <c r="L32" s="56">
        <f>5.6+3.14</f>
        <v>8.74</v>
      </c>
      <c r="M32" s="23">
        <f>3.38+0.44</f>
        <v>3.82</v>
      </c>
      <c r="N32" s="56">
        <f>3.88+0.92</f>
        <v>4.8</v>
      </c>
      <c r="O32" s="56">
        <f>3.3+0.32</f>
        <v>3.6199999999999997</v>
      </c>
      <c r="P32" s="23">
        <f>2.94+0.96</f>
        <v>3.9</v>
      </c>
      <c r="Q32" s="14">
        <f t="shared" si="5"/>
        <v>48.679999999999993</v>
      </c>
      <c r="T32" s="45" t="s">
        <v>55</v>
      </c>
      <c r="U32" s="56">
        <v>0.96</v>
      </c>
      <c r="V32" s="56">
        <v>2.8</v>
      </c>
      <c r="W32" s="56">
        <v>3.38</v>
      </c>
      <c r="X32" s="56">
        <v>3.4</v>
      </c>
      <c r="Y32" s="56">
        <v>2.68</v>
      </c>
      <c r="Z32" s="56">
        <v>2.36</v>
      </c>
      <c r="AA32" s="56">
        <v>3.26</v>
      </c>
      <c r="AB32" s="56">
        <v>5.6</v>
      </c>
      <c r="AC32" s="23">
        <v>3.38</v>
      </c>
      <c r="AD32" s="56">
        <v>3.88</v>
      </c>
      <c r="AE32" s="56">
        <v>3.3</v>
      </c>
      <c r="AF32" s="23">
        <v>2.94</v>
      </c>
      <c r="AG32" s="14">
        <f t="shared" si="6"/>
        <v>37.939999999999991</v>
      </c>
    </row>
    <row r="33" spans="4:33" ht="28.5" customHeight="1">
      <c r="D33" s="13" t="s">
        <v>44</v>
      </c>
      <c r="E33" s="56">
        <f>1.18+0.26</f>
        <v>1.44</v>
      </c>
      <c r="F33" s="56">
        <f>0.9+0.2</f>
        <v>1.1000000000000001</v>
      </c>
      <c r="G33" s="56">
        <f>1+0.38</f>
        <v>1.38</v>
      </c>
      <c r="H33" s="56">
        <f>1.2+0.48</f>
        <v>1.68</v>
      </c>
      <c r="I33" s="56">
        <f>1.56+0.48</f>
        <v>2.04</v>
      </c>
      <c r="J33" s="56">
        <f>1.32+0.92</f>
        <v>2.2400000000000002</v>
      </c>
      <c r="K33" s="56">
        <f>2.1+0.64</f>
        <v>2.74</v>
      </c>
      <c r="L33" s="56">
        <f>2.12+0.8</f>
        <v>2.92</v>
      </c>
      <c r="M33" s="23">
        <f>1.88+0.64</f>
        <v>2.52</v>
      </c>
      <c r="N33" s="56">
        <f>1.46+0.72</f>
        <v>2.1799999999999997</v>
      </c>
      <c r="O33" s="56">
        <f>1.94+0.66</f>
        <v>2.6</v>
      </c>
      <c r="P33" s="23">
        <f>1.52+0.46</f>
        <v>1.98</v>
      </c>
      <c r="Q33" s="14">
        <f t="shared" si="5"/>
        <v>24.82</v>
      </c>
      <c r="T33" s="13" t="s">
        <v>44</v>
      </c>
      <c r="U33" s="56">
        <v>1.18</v>
      </c>
      <c r="V33" s="56">
        <v>0.9</v>
      </c>
      <c r="W33" s="56">
        <v>1</v>
      </c>
      <c r="X33" s="56">
        <v>1.2</v>
      </c>
      <c r="Y33" s="56">
        <v>1.56</v>
      </c>
      <c r="Z33" s="56">
        <v>1.32</v>
      </c>
      <c r="AA33" s="56">
        <v>2.1</v>
      </c>
      <c r="AB33" s="56">
        <v>2.12</v>
      </c>
      <c r="AC33" s="23">
        <v>1.88</v>
      </c>
      <c r="AD33" s="56">
        <v>1.46</v>
      </c>
      <c r="AE33" s="56">
        <v>1.94</v>
      </c>
      <c r="AF33" s="23">
        <v>1.52</v>
      </c>
      <c r="AG33" s="14">
        <f t="shared" si="6"/>
        <v>18.18</v>
      </c>
    </row>
    <row r="34" spans="4:33" ht="20.25" customHeight="1">
      <c r="D34" s="54" t="s">
        <v>65</v>
      </c>
      <c r="E34" s="56">
        <f>0.42+0.04</f>
        <v>0.45999999999999996</v>
      </c>
      <c r="F34" s="56">
        <f>0.56+0.06</f>
        <v>0.62000000000000011</v>
      </c>
      <c r="G34" s="56">
        <f>0.18</f>
        <v>0.18</v>
      </c>
      <c r="H34" s="56">
        <f>1.12+0.06</f>
        <v>1.1800000000000002</v>
      </c>
      <c r="I34" s="56">
        <f>0.68+0.1</f>
        <v>0.78</v>
      </c>
      <c r="J34" s="56">
        <f>0.52+0.12</f>
        <v>0.64</v>
      </c>
      <c r="K34" s="56">
        <f>0.62+0.06</f>
        <v>0.67999999999999994</v>
      </c>
      <c r="L34" s="56">
        <f>1.1+0.24</f>
        <v>1.34</v>
      </c>
      <c r="M34" s="23">
        <f>1+0.04</f>
        <v>1.04</v>
      </c>
      <c r="N34" s="56">
        <f>1.06+0.34</f>
        <v>1.4000000000000001</v>
      </c>
      <c r="O34" s="56">
        <f>0.56+0.12</f>
        <v>0.68</v>
      </c>
      <c r="P34" s="23">
        <f>0.62+0.18</f>
        <v>0.8</v>
      </c>
      <c r="Q34" s="14">
        <f t="shared" si="5"/>
        <v>9.8000000000000007</v>
      </c>
      <c r="T34" s="54" t="s">
        <v>65</v>
      </c>
      <c r="U34" s="56">
        <v>0.42</v>
      </c>
      <c r="V34" s="56">
        <v>0.56000000000000005</v>
      </c>
      <c r="W34" s="56">
        <v>0.18</v>
      </c>
      <c r="X34" s="56">
        <v>1.1200000000000001</v>
      </c>
      <c r="Y34" s="56">
        <v>0.68</v>
      </c>
      <c r="Z34" s="56">
        <v>0.52</v>
      </c>
      <c r="AA34" s="56">
        <v>0.62</v>
      </c>
      <c r="AB34" s="56">
        <v>1.1000000000000001</v>
      </c>
      <c r="AC34" s="23">
        <v>1</v>
      </c>
      <c r="AD34" s="56">
        <v>1.06</v>
      </c>
      <c r="AE34" s="56">
        <v>0.56000000000000005</v>
      </c>
      <c r="AF34" s="23">
        <v>0.62</v>
      </c>
      <c r="AG34" s="14">
        <f t="shared" si="6"/>
        <v>8.4400000000000013</v>
      </c>
    </row>
    <row r="35" spans="4:33" ht="27" customHeight="1">
      <c r="D35" s="26" t="s">
        <v>40</v>
      </c>
      <c r="E35" s="56">
        <v>1.96</v>
      </c>
      <c r="F35" s="56">
        <f>1.1+0.16</f>
        <v>1.26</v>
      </c>
      <c r="G35" s="56">
        <f>9.32+0.72</f>
        <v>10.040000000000001</v>
      </c>
      <c r="H35" s="56">
        <f>30.88+0.1</f>
        <v>30.98</v>
      </c>
      <c r="I35" s="56">
        <f>6.78+0.34</f>
        <v>7.12</v>
      </c>
      <c r="J35" s="56">
        <f>5.54+0.48</f>
        <v>6.02</v>
      </c>
      <c r="K35" s="56">
        <f>4.06+0.1</f>
        <v>4.1599999999999993</v>
      </c>
      <c r="L35" s="56">
        <f>5.14+1.18</f>
        <v>6.3199999999999994</v>
      </c>
      <c r="M35" s="23">
        <f>10.64+1.06</f>
        <v>11.700000000000001</v>
      </c>
      <c r="N35" s="56">
        <f>7.4+0.3</f>
        <v>7.7</v>
      </c>
      <c r="O35" s="56">
        <f>7.46+0.1</f>
        <v>7.56</v>
      </c>
      <c r="P35" s="23">
        <v>4.6399999999999997</v>
      </c>
      <c r="Q35" s="14">
        <f t="shared" si="5"/>
        <v>99.46</v>
      </c>
      <c r="T35" s="26" t="s">
        <v>40</v>
      </c>
      <c r="U35" s="56">
        <v>1.96</v>
      </c>
      <c r="V35" s="56">
        <v>1.1000000000000001</v>
      </c>
      <c r="W35" s="56">
        <v>9.32</v>
      </c>
      <c r="X35" s="56">
        <v>30.88</v>
      </c>
      <c r="Y35" s="56">
        <v>6.78</v>
      </c>
      <c r="Z35" s="56">
        <v>5.54</v>
      </c>
      <c r="AA35" s="56">
        <v>4.0599999999999996</v>
      </c>
      <c r="AB35" s="56">
        <v>5.14</v>
      </c>
      <c r="AC35" s="23">
        <v>10.64</v>
      </c>
      <c r="AD35" s="56">
        <v>7.4</v>
      </c>
      <c r="AE35" s="56">
        <v>7.46</v>
      </c>
      <c r="AF35" s="23">
        <v>4.6399999999999997</v>
      </c>
      <c r="AG35" s="14">
        <f t="shared" si="6"/>
        <v>94.92</v>
      </c>
    </row>
    <row r="36" spans="4:33" ht="17.25" customHeight="1">
      <c r="D36" s="13" t="s">
        <v>43</v>
      </c>
      <c r="E36" s="56">
        <f>9.7+2.08</f>
        <v>11.78</v>
      </c>
      <c r="F36" s="56">
        <f>14.46+1.46</f>
        <v>15.920000000000002</v>
      </c>
      <c r="G36" s="56">
        <f>12.92+3.14</f>
        <v>16.059999999999999</v>
      </c>
      <c r="H36" s="56">
        <f>25.5+6.96</f>
        <v>32.46</v>
      </c>
      <c r="I36" s="56">
        <f>16.48+3.24</f>
        <v>19.72</v>
      </c>
      <c r="J36" s="56">
        <f>19.9+7.14</f>
        <v>27.04</v>
      </c>
      <c r="K36" s="56">
        <f>26.7+10.04</f>
        <v>36.739999999999995</v>
      </c>
      <c r="L36" s="56">
        <f>18.78+6.22</f>
        <v>25</v>
      </c>
      <c r="M36" s="23">
        <f>24.58+3.4</f>
        <v>27.979999999999997</v>
      </c>
      <c r="N36" s="56">
        <f>18.88+2.68</f>
        <v>21.56</v>
      </c>
      <c r="O36" s="56">
        <f>14.52+1.6</f>
        <v>16.12</v>
      </c>
      <c r="P36" s="23">
        <f>18.46+6.04</f>
        <v>24.5</v>
      </c>
      <c r="Q36" s="14">
        <f t="shared" si="5"/>
        <v>274.88</v>
      </c>
      <c r="T36" s="13" t="s">
        <v>43</v>
      </c>
      <c r="U36" s="56">
        <v>9.6999999999999993</v>
      </c>
      <c r="V36" s="56">
        <v>14.46</v>
      </c>
      <c r="W36" s="56">
        <v>12.92</v>
      </c>
      <c r="X36" s="56">
        <v>25.5</v>
      </c>
      <c r="Y36" s="56">
        <v>16.48</v>
      </c>
      <c r="Z36" s="56">
        <v>19.899999999999999</v>
      </c>
      <c r="AA36" s="56">
        <v>26.7</v>
      </c>
      <c r="AB36" s="56">
        <v>18.78</v>
      </c>
      <c r="AC36" s="23">
        <v>24.58</v>
      </c>
      <c r="AD36" s="56">
        <v>18.88</v>
      </c>
      <c r="AE36" s="56">
        <v>14.52</v>
      </c>
      <c r="AF36" s="23">
        <v>18.46</v>
      </c>
      <c r="AG36" s="14">
        <f t="shared" si="6"/>
        <v>220.88</v>
      </c>
    </row>
    <row r="37" spans="4:33">
      <c r="D37" s="24" t="s">
        <v>35</v>
      </c>
      <c r="E37" s="14">
        <f t="shared" ref="E37:P37" si="7">SUM(E27:E36)</f>
        <v>70.88</v>
      </c>
      <c r="F37" s="14">
        <f t="shared" si="7"/>
        <v>74.28</v>
      </c>
      <c r="G37" s="14">
        <f t="shared" si="7"/>
        <v>85.98</v>
      </c>
      <c r="H37" s="14">
        <f t="shared" si="7"/>
        <v>156.94</v>
      </c>
      <c r="I37" s="14">
        <f t="shared" si="7"/>
        <v>115.32000000000002</v>
      </c>
      <c r="J37" s="14">
        <f t="shared" si="7"/>
        <v>111.06</v>
      </c>
      <c r="K37" s="14">
        <f t="shared" si="7"/>
        <v>147.41999999999999</v>
      </c>
      <c r="L37" s="14">
        <f t="shared" si="7"/>
        <v>144.07999999999998</v>
      </c>
      <c r="M37" s="14">
        <f t="shared" si="7"/>
        <v>151.95999999999998</v>
      </c>
      <c r="N37" s="14">
        <f t="shared" si="7"/>
        <v>129.45999999999998</v>
      </c>
      <c r="O37" s="55">
        <f t="shared" si="7"/>
        <v>77.240000000000009</v>
      </c>
      <c r="P37" s="14">
        <f t="shared" si="7"/>
        <v>93.36</v>
      </c>
      <c r="Q37" s="12">
        <f>SUM(E37:P37)</f>
        <v>1357.98</v>
      </c>
      <c r="T37" s="24" t="s">
        <v>35</v>
      </c>
      <c r="U37" s="14">
        <f t="shared" ref="U37:AF37" si="8">SUM(U27:U36)</f>
        <v>56.099999999999994</v>
      </c>
      <c r="V37" s="14">
        <f t="shared" si="8"/>
        <v>65.56</v>
      </c>
      <c r="W37" s="14">
        <f t="shared" si="8"/>
        <v>76.02</v>
      </c>
      <c r="X37" s="14">
        <f t="shared" si="8"/>
        <v>137.80000000000001</v>
      </c>
      <c r="Y37" s="14">
        <f t="shared" si="8"/>
        <v>98.300000000000026</v>
      </c>
      <c r="Z37" s="14">
        <f t="shared" si="8"/>
        <v>83.800000000000011</v>
      </c>
      <c r="AA37" s="14">
        <f t="shared" si="8"/>
        <v>109.42000000000002</v>
      </c>
      <c r="AB37" s="14">
        <f t="shared" si="8"/>
        <v>116.91999999999999</v>
      </c>
      <c r="AC37" s="14">
        <f t="shared" si="8"/>
        <v>135.45999999999998</v>
      </c>
      <c r="AD37" s="14">
        <f t="shared" si="8"/>
        <v>110.13999999999999</v>
      </c>
      <c r="AE37" s="55">
        <f t="shared" si="8"/>
        <v>69.92</v>
      </c>
      <c r="AF37" s="14">
        <f t="shared" si="8"/>
        <v>75.52000000000001</v>
      </c>
      <c r="AG37" s="12">
        <f>SUM(U37:AF37)</f>
        <v>1134.9599999999998</v>
      </c>
    </row>
    <row r="40" spans="4:33">
      <c r="T40" s="57" t="s">
        <v>71</v>
      </c>
    </row>
    <row r="41" spans="4:33" ht="75">
      <c r="T41" s="2" t="s">
        <v>4</v>
      </c>
      <c r="U41" s="2" t="s">
        <v>5</v>
      </c>
      <c r="V41" s="2" t="s">
        <v>7</v>
      </c>
      <c r="W41" s="2" t="s">
        <v>8</v>
      </c>
      <c r="X41" s="2" t="s">
        <v>10</v>
      </c>
      <c r="Y41" s="2" t="s">
        <v>11</v>
      </c>
      <c r="Z41" s="2" t="s">
        <v>12</v>
      </c>
      <c r="AA41" s="2" t="s">
        <v>14</v>
      </c>
      <c r="AB41" s="2" t="s">
        <v>15</v>
      </c>
      <c r="AC41" s="2" t="s">
        <v>16</v>
      </c>
      <c r="AD41" s="2" t="s">
        <v>17</v>
      </c>
      <c r="AE41" s="2" t="s">
        <v>18</v>
      </c>
      <c r="AF41" s="2" t="s">
        <v>19</v>
      </c>
      <c r="AG41" s="34" t="s">
        <v>36</v>
      </c>
    </row>
    <row r="42" spans="4:33">
      <c r="T42" s="2" t="s">
        <v>63</v>
      </c>
      <c r="U42" s="56">
        <v>0.56000000000000005</v>
      </c>
      <c r="V42" s="56">
        <v>0.14000000000000001</v>
      </c>
      <c r="W42" s="56">
        <v>0.66</v>
      </c>
      <c r="X42" s="56">
        <v>0.9</v>
      </c>
      <c r="Y42" s="56">
        <v>1.5</v>
      </c>
      <c r="Z42" s="56">
        <v>1.88</v>
      </c>
      <c r="AA42" s="56">
        <v>2.58</v>
      </c>
      <c r="AB42" s="56">
        <v>3.08</v>
      </c>
      <c r="AC42" s="56">
        <v>0.68</v>
      </c>
      <c r="AD42" s="56">
        <v>2.86</v>
      </c>
      <c r="AE42" s="56">
        <v>0.8</v>
      </c>
      <c r="AF42" s="41">
        <v>1.1599999999999999</v>
      </c>
      <c r="AG42" s="14">
        <f t="shared" ref="AG42" si="9">SUM(U42:AF42)</f>
        <v>16.8</v>
      </c>
    </row>
    <row r="43" spans="4:33">
      <c r="T43" s="22" t="s">
        <v>38</v>
      </c>
      <c r="U43" s="56">
        <v>0.08</v>
      </c>
      <c r="V43" s="56">
        <v>0.16</v>
      </c>
      <c r="W43" s="56">
        <v>0.1</v>
      </c>
      <c r="X43" s="56">
        <v>0</v>
      </c>
      <c r="Y43" s="56">
        <v>0.36</v>
      </c>
      <c r="Z43" s="56">
        <v>0.28000000000000003</v>
      </c>
      <c r="AA43" s="56">
        <v>0.84</v>
      </c>
      <c r="AB43" s="56">
        <v>0.57999999999999996</v>
      </c>
      <c r="AC43" s="23">
        <v>0.24</v>
      </c>
      <c r="AD43" s="56">
        <v>0.04</v>
      </c>
      <c r="AE43" s="56">
        <v>0.18</v>
      </c>
      <c r="AF43" s="23">
        <v>0.02</v>
      </c>
      <c r="AG43" s="14">
        <f>SUM(U43:AF43)</f>
        <v>2.88</v>
      </c>
    </row>
    <row r="44" spans="4:33">
      <c r="T44" s="24" t="s">
        <v>53</v>
      </c>
      <c r="U44" s="56">
        <v>0.5</v>
      </c>
      <c r="V44" s="56">
        <v>0.1</v>
      </c>
      <c r="W44" s="56">
        <v>0.34</v>
      </c>
      <c r="X44" s="56">
        <v>1.1399999999999999</v>
      </c>
      <c r="Y44" s="56">
        <v>0.8</v>
      </c>
      <c r="Z44" s="56">
        <v>0.72</v>
      </c>
      <c r="AA44" s="56">
        <v>0.6</v>
      </c>
      <c r="AB44" s="56">
        <v>0.72</v>
      </c>
      <c r="AC44" s="23">
        <v>0.06</v>
      </c>
      <c r="AD44" s="56">
        <v>0.7</v>
      </c>
      <c r="AE44" s="56">
        <v>0.32</v>
      </c>
      <c r="AF44" s="23">
        <v>0.06</v>
      </c>
      <c r="AG44" s="14">
        <f t="shared" ref="AG44:AG45" si="10">SUM(U44:AF44)</f>
        <v>6.0599999999999987</v>
      </c>
    </row>
    <row r="45" spans="4:33">
      <c r="T45" s="24" t="s">
        <v>56</v>
      </c>
      <c r="U45" s="56">
        <v>10.72</v>
      </c>
      <c r="V45" s="56">
        <v>5.48</v>
      </c>
      <c r="W45" s="56">
        <v>3.54</v>
      </c>
      <c r="X45" s="56">
        <v>8.64</v>
      </c>
      <c r="Y45" s="56">
        <v>9.52</v>
      </c>
      <c r="Z45" s="56">
        <v>14.72</v>
      </c>
      <c r="AA45" s="56">
        <v>21.18</v>
      </c>
      <c r="AB45" s="56">
        <v>10.6</v>
      </c>
      <c r="AC45" s="23">
        <v>9.44</v>
      </c>
      <c r="AD45" s="56">
        <v>10.42</v>
      </c>
      <c r="AE45" s="56">
        <v>3.1</v>
      </c>
      <c r="AF45" s="23">
        <v>8.7200000000000006</v>
      </c>
      <c r="AG45" s="14">
        <f t="shared" si="10"/>
        <v>116.08</v>
      </c>
    </row>
    <row r="46" spans="4:33">
      <c r="T46" s="25" t="s">
        <v>39</v>
      </c>
      <c r="U46" s="56">
        <v>0.12</v>
      </c>
      <c r="V46" s="56">
        <v>0.24</v>
      </c>
      <c r="W46" s="56">
        <v>0.24</v>
      </c>
      <c r="X46" s="56">
        <v>0.16</v>
      </c>
      <c r="Y46" s="56">
        <v>0.18</v>
      </c>
      <c r="Z46" s="56">
        <v>0.32</v>
      </c>
      <c r="AA46" s="56">
        <v>0.86</v>
      </c>
      <c r="AB46" s="56">
        <v>0.6</v>
      </c>
      <c r="AC46" s="23">
        <v>0.5</v>
      </c>
      <c r="AD46" s="56">
        <v>0.34</v>
      </c>
      <c r="AE46" s="56">
        <v>0.12</v>
      </c>
      <c r="AF46" s="23">
        <v>0.24</v>
      </c>
      <c r="AG46" s="14">
        <f t="shared" ref="AG46:AG50" si="11">SUM(U46:AF46)</f>
        <v>3.92</v>
      </c>
    </row>
    <row r="47" spans="4:33">
      <c r="T47" s="45" t="s">
        <v>55</v>
      </c>
      <c r="U47" s="56">
        <v>0.42</v>
      </c>
      <c r="V47" s="56">
        <v>0.72</v>
      </c>
      <c r="W47" s="56">
        <v>0.84</v>
      </c>
      <c r="X47" s="56">
        <v>0.7</v>
      </c>
      <c r="Y47" s="56">
        <v>0.5</v>
      </c>
      <c r="Z47" s="56">
        <v>0.68</v>
      </c>
      <c r="AA47" s="56">
        <v>1.1000000000000001</v>
      </c>
      <c r="AB47" s="56">
        <v>3.14</v>
      </c>
      <c r="AC47" s="23">
        <v>0.44</v>
      </c>
      <c r="AD47" s="56">
        <v>0.92</v>
      </c>
      <c r="AE47" s="56">
        <v>0.32</v>
      </c>
      <c r="AF47" s="23">
        <v>0.96</v>
      </c>
      <c r="AG47" s="14">
        <f t="shared" si="11"/>
        <v>10.739999999999998</v>
      </c>
    </row>
    <row r="48" spans="4:33" ht="30">
      <c r="T48" s="13" t="s">
        <v>44</v>
      </c>
      <c r="U48" s="56">
        <v>0.26</v>
      </c>
      <c r="V48" s="56">
        <v>0.2</v>
      </c>
      <c r="W48" s="56">
        <v>0.38</v>
      </c>
      <c r="X48" s="56">
        <v>0.48</v>
      </c>
      <c r="Y48" s="56">
        <v>0.48</v>
      </c>
      <c r="Z48" s="56">
        <v>0.92</v>
      </c>
      <c r="AA48" s="56">
        <v>0.64</v>
      </c>
      <c r="AB48" s="56">
        <v>0.8</v>
      </c>
      <c r="AC48" s="23">
        <v>0.64</v>
      </c>
      <c r="AD48" s="56">
        <v>0.72</v>
      </c>
      <c r="AE48" s="56">
        <v>0.66</v>
      </c>
      <c r="AF48" s="23">
        <v>0.46</v>
      </c>
      <c r="AG48" s="14">
        <f t="shared" si="11"/>
        <v>6.64</v>
      </c>
    </row>
    <row r="49" spans="20:33">
      <c r="T49" s="54" t="s">
        <v>65</v>
      </c>
      <c r="U49" s="56">
        <v>0.04</v>
      </c>
      <c r="V49" s="56">
        <v>0.06</v>
      </c>
      <c r="W49" s="56">
        <v>0</v>
      </c>
      <c r="X49" s="56">
        <v>0.06</v>
      </c>
      <c r="Y49" s="56">
        <v>0.1</v>
      </c>
      <c r="Z49" s="56">
        <v>0.12</v>
      </c>
      <c r="AA49" s="56">
        <v>0.06</v>
      </c>
      <c r="AB49" s="56">
        <v>0.24</v>
      </c>
      <c r="AC49" s="23">
        <v>0.04</v>
      </c>
      <c r="AD49" s="56">
        <v>0.34</v>
      </c>
      <c r="AE49" s="56">
        <v>0.12</v>
      </c>
      <c r="AF49" s="23">
        <v>0.18</v>
      </c>
      <c r="AG49" s="14">
        <f t="shared" si="11"/>
        <v>1.36</v>
      </c>
    </row>
    <row r="50" spans="20:33" ht="30">
      <c r="T50" s="26" t="s">
        <v>40</v>
      </c>
      <c r="U50" s="59">
        <v>0</v>
      </c>
      <c r="V50" s="56">
        <v>0.16</v>
      </c>
      <c r="W50" s="56">
        <v>0.72</v>
      </c>
      <c r="X50" s="56">
        <v>0.1</v>
      </c>
      <c r="Y50" s="56">
        <v>0.34</v>
      </c>
      <c r="Z50" s="56">
        <v>0.48</v>
      </c>
      <c r="AA50" s="56">
        <v>0.1</v>
      </c>
      <c r="AB50" s="56">
        <v>1.18</v>
      </c>
      <c r="AC50" s="23">
        <v>1.06</v>
      </c>
      <c r="AD50" s="56">
        <v>0.3</v>
      </c>
      <c r="AE50" s="56">
        <v>0.1</v>
      </c>
      <c r="AF50" s="23">
        <v>0</v>
      </c>
      <c r="AG50" s="14">
        <f t="shared" si="11"/>
        <v>4.54</v>
      </c>
    </row>
    <row r="51" spans="20:33">
      <c r="T51" s="13" t="s">
        <v>43</v>
      </c>
      <c r="U51" s="56">
        <v>2.08</v>
      </c>
      <c r="V51" s="56">
        <v>1.46</v>
      </c>
      <c r="W51" s="56">
        <v>3.14</v>
      </c>
      <c r="X51" s="56">
        <v>6.96</v>
      </c>
      <c r="Y51" s="56">
        <v>3.24</v>
      </c>
      <c r="Z51" s="56">
        <v>7.14</v>
      </c>
      <c r="AA51" s="56">
        <v>10.039999999999999</v>
      </c>
      <c r="AB51" s="56">
        <v>6.22</v>
      </c>
      <c r="AC51" s="23">
        <v>3.4</v>
      </c>
      <c r="AD51" s="56">
        <v>2.68</v>
      </c>
      <c r="AE51" s="56">
        <v>1.6</v>
      </c>
      <c r="AF51" s="23">
        <v>6.04</v>
      </c>
      <c r="AG51" s="14">
        <f>SUM(U51:AF51)</f>
        <v>54</v>
      </c>
    </row>
    <row r="52" spans="20:33">
      <c r="T52" s="24" t="s">
        <v>35</v>
      </c>
      <c r="U52" s="14">
        <f t="shared" ref="U52:AF52" si="12">SUM(U42:U51)</f>
        <v>14.78</v>
      </c>
      <c r="V52" s="14">
        <f t="shared" si="12"/>
        <v>8.7200000000000006</v>
      </c>
      <c r="W52" s="14">
        <f t="shared" si="12"/>
        <v>9.9600000000000009</v>
      </c>
      <c r="X52" s="14">
        <f t="shared" si="12"/>
        <v>19.14</v>
      </c>
      <c r="Y52" s="14">
        <f t="shared" si="12"/>
        <v>17.02</v>
      </c>
      <c r="Z52" s="14">
        <f t="shared" si="12"/>
        <v>27.260000000000005</v>
      </c>
      <c r="AA52" s="14">
        <f t="shared" si="12"/>
        <v>38</v>
      </c>
      <c r="AB52" s="14">
        <f t="shared" si="12"/>
        <v>27.159999999999997</v>
      </c>
      <c r="AC52" s="14">
        <f t="shared" si="12"/>
        <v>16.5</v>
      </c>
      <c r="AD52" s="14">
        <f t="shared" si="12"/>
        <v>19.32</v>
      </c>
      <c r="AE52" s="55">
        <f t="shared" si="12"/>
        <v>7.32</v>
      </c>
      <c r="AF52" s="14">
        <f t="shared" si="12"/>
        <v>17.84</v>
      </c>
      <c r="AG52" s="12">
        <f>SUM(U52:AF52)</f>
        <v>223.01999999999998</v>
      </c>
    </row>
  </sheetData>
  <mergeCells count="1">
    <mergeCell ref="D1:R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1799A-C5D7-4A0D-9A67-97363634FA5D}">
  <dimension ref="C1:P22"/>
  <sheetViews>
    <sheetView workbookViewId="0">
      <selection activeCell="C2" sqref="C2"/>
    </sheetView>
  </sheetViews>
  <sheetFormatPr defaultRowHeight="15"/>
  <cols>
    <col min="3" max="3" width="42.5703125" customWidth="1"/>
    <col min="13" max="13" width="12.28515625" customWidth="1"/>
  </cols>
  <sheetData>
    <row r="1" spans="3:16">
      <c r="C1" s="87" t="s">
        <v>77</v>
      </c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3" spans="3:16">
      <c r="C3" t="s">
        <v>73</v>
      </c>
    </row>
    <row r="4" spans="3:16" ht="75">
      <c r="C4" s="2" t="s">
        <v>4</v>
      </c>
      <c r="D4" s="2" t="s">
        <v>5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12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2" t="s">
        <v>19</v>
      </c>
      <c r="P4" s="34" t="s">
        <v>36</v>
      </c>
    </row>
    <row r="5" spans="3:16" ht="30">
      <c r="C5" s="13" t="s">
        <v>44</v>
      </c>
      <c r="D5" s="56"/>
      <c r="E5" s="56"/>
      <c r="F5" s="56"/>
      <c r="G5" s="56">
        <v>2.1000000000000001E-2</v>
      </c>
      <c r="H5" s="56">
        <v>1.7000000000000001E-2</v>
      </c>
      <c r="I5" s="56"/>
      <c r="J5" s="56"/>
      <c r="K5" s="56"/>
      <c r="L5" s="56"/>
      <c r="M5" s="2"/>
      <c r="N5" s="2"/>
      <c r="O5" s="2"/>
      <c r="P5" s="55">
        <f>SUM(D5:O5)</f>
        <v>3.8000000000000006E-2</v>
      </c>
    </row>
    <row r="6" spans="3:16">
      <c r="C6" s="45" t="s">
        <v>55</v>
      </c>
      <c r="D6" s="56"/>
      <c r="E6" s="56">
        <v>1.0999999999999999E-2</v>
      </c>
      <c r="F6" s="56"/>
      <c r="G6" s="56">
        <v>0.41699999999999998</v>
      </c>
      <c r="H6" s="56">
        <v>0.39100000000000001</v>
      </c>
      <c r="I6" s="56"/>
      <c r="J6" s="56"/>
      <c r="K6" s="56"/>
      <c r="L6" s="23"/>
      <c r="M6" s="23"/>
      <c r="N6" s="23"/>
      <c r="O6" s="23"/>
      <c r="P6" s="55">
        <f>SUM(D6:O6)</f>
        <v>0.81899999999999995</v>
      </c>
    </row>
    <row r="7" spans="3:16">
      <c r="C7" s="22" t="s">
        <v>38</v>
      </c>
      <c r="D7" s="56"/>
      <c r="E7" s="56"/>
      <c r="F7" s="56"/>
      <c r="G7" s="56">
        <v>7.0000000000000001E-3</v>
      </c>
      <c r="H7" s="56"/>
      <c r="I7" s="56"/>
      <c r="J7" s="56"/>
      <c r="K7" s="56"/>
      <c r="L7" s="23"/>
      <c r="M7" s="23"/>
      <c r="N7" s="23"/>
      <c r="O7" s="23"/>
      <c r="P7" s="55">
        <f t="shared" ref="P7:P8" si="0">SUM(D7:O7)</f>
        <v>7.0000000000000001E-3</v>
      </c>
    </row>
    <row r="8" spans="3:16">
      <c r="C8" s="24" t="s">
        <v>53</v>
      </c>
      <c r="D8" s="56"/>
      <c r="E8" s="56"/>
      <c r="F8" s="56"/>
      <c r="G8" s="56">
        <v>0.09</v>
      </c>
      <c r="H8" s="56"/>
      <c r="I8" s="56"/>
      <c r="J8" s="56"/>
      <c r="K8" s="56"/>
      <c r="L8" s="23"/>
      <c r="M8" s="23"/>
      <c r="N8" s="23"/>
      <c r="O8" s="23"/>
      <c r="P8" s="55">
        <f t="shared" si="0"/>
        <v>0.09</v>
      </c>
    </row>
    <row r="9" spans="3:16" ht="18.75" customHeight="1">
      <c r="C9" s="25" t="s">
        <v>39</v>
      </c>
      <c r="D9" s="56"/>
      <c r="E9" s="56"/>
      <c r="F9" s="56"/>
      <c r="G9" s="56">
        <v>8.0000000000000002E-3</v>
      </c>
      <c r="H9" s="56"/>
      <c r="I9" s="56"/>
      <c r="J9" s="56"/>
      <c r="K9" s="56"/>
      <c r="L9" s="23"/>
      <c r="M9" s="23"/>
      <c r="N9" s="23"/>
      <c r="O9" s="23"/>
      <c r="P9" s="55">
        <f>SUM(D9:O9)</f>
        <v>8.0000000000000002E-3</v>
      </c>
    </row>
    <row r="10" spans="3:16">
      <c r="C10" s="24" t="s">
        <v>69</v>
      </c>
      <c r="D10" s="58">
        <f>SUM(D5:D9)</f>
        <v>0</v>
      </c>
      <c r="E10" s="58">
        <f t="shared" ref="E10:P10" si="1">SUM(E5:E9)</f>
        <v>1.0999999999999999E-2</v>
      </c>
      <c r="F10" s="58">
        <f t="shared" si="1"/>
        <v>0</v>
      </c>
      <c r="G10" s="58">
        <f t="shared" si="1"/>
        <v>0.54300000000000004</v>
      </c>
      <c r="H10" s="58">
        <f t="shared" si="1"/>
        <v>0.40800000000000003</v>
      </c>
      <c r="I10" s="58">
        <f t="shared" si="1"/>
        <v>0</v>
      </c>
      <c r="J10" s="58">
        <f t="shared" si="1"/>
        <v>0</v>
      </c>
      <c r="K10" s="58">
        <f t="shared" si="1"/>
        <v>0</v>
      </c>
      <c r="L10" s="58">
        <f t="shared" si="1"/>
        <v>0</v>
      </c>
      <c r="M10" s="58">
        <f t="shared" si="1"/>
        <v>0</v>
      </c>
      <c r="N10" s="58">
        <f t="shared" si="1"/>
        <v>0</v>
      </c>
      <c r="O10" s="58">
        <f t="shared" si="1"/>
        <v>0</v>
      </c>
      <c r="P10" s="58">
        <f t="shared" si="1"/>
        <v>0.96199999999999997</v>
      </c>
    </row>
    <row r="14" spans="3:16">
      <c r="C14" t="s">
        <v>74</v>
      </c>
    </row>
    <row r="15" spans="3:16" ht="75">
      <c r="C15" s="2" t="s">
        <v>4</v>
      </c>
      <c r="D15" s="2" t="s">
        <v>5</v>
      </c>
      <c r="E15" s="2" t="s">
        <v>7</v>
      </c>
      <c r="F15" s="2" t="s">
        <v>8</v>
      </c>
      <c r="G15" s="2" t="s">
        <v>10</v>
      </c>
      <c r="H15" s="2" t="s">
        <v>11</v>
      </c>
      <c r="I15" s="2" t="s">
        <v>12</v>
      </c>
      <c r="J15" s="2" t="s">
        <v>14</v>
      </c>
      <c r="K15" s="2" t="s">
        <v>15</v>
      </c>
      <c r="L15" s="2" t="s">
        <v>16</v>
      </c>
      <c r="M15" s="2" t="s">
        <v>17</v>
      </c>
      <c r="N15" s="2" t="s">
        <v>18</v>
      </c>
      <c r="O15" s="2" t="s">
        <v>19</v>
      </c>
      <c r="P15" s="34" t="s">
        <v>36</v>
      </c>
    </row>
    <row r="16" spans="3:16" ht="30">
      <c r="C16" s="13" t="s">
        <v>44</v>
      </c>
      <c r="D16" s="56"/>
      <c r="E16" s="56"/>
      <c r="F16" s="56"/>
      <c r="G16" s="56"/>
      <c r="H16" s="56">
        <f>0.075+0.02</f>
        <v>9.5000000000000001E-2</v>
      </c>
      <c r="I16" s="56">
        <v>0.02</v>
      </c>
      <c r="J16" s="56"/>
      <c r="K16" s="56"/>
      <c r="L16" s="56"/>
      <c r="M16" s="41">
        <f>0.15+0.1</f>
        <v>0.25</v>
      </c>
      <c r="N16" s="41">
        <v>0.14000000000000001</v>
      </c>
      <c r="O16" s="41"/>
      <c r="P16" s="55">
        <f>SUM(D16:O16)</f>
        <v>0.505</v>
      </c>
    </row>
    <row r="17" spans="3:16">
      <c r="C17" s="45" t="s">
        <v>55</v>
      </c>
      <c r="D17" s="56"/>
      <c r="E17" s="56"/>
      <c r="F17" s="56"/>
      <c r="G17" s="56"/>
      <c r="H17" s="56">
        <f>1.6+0.26</f>
        <v>1.86</v>
      </c>
      <c r="I17" s="56">
        <v>0.4</v>
      </c>
      <c r="J17" s="56"/>
      <c r="K17" s="56"/>
      <c r="L17" s="23"/>
      <c r="M17" s="23">
        <f>0.9+0.8</f>
        <v>1.7000000000000002</v>
      </c>
      <c r="N17" s="23">
        <v>1.6</v>
      </c>
      <c r="O17" s="23"/>
      <c r="P17" s="55">
        <f>SUM(D17:O17)</f>
        <v>5.5600000000000005</v>
      </c>
    </row>
    <row r="18" spans="3:16">
      <c r="C18" s="24" t="s">
        <v>75</v>
      </c>
      <c r="D18" s="56"/>
      <c r="E18" s="56"/>
      <c r="F18" s="56"/>
      <c r="G18" s="56"/>
      <c r="H18" s="56">
        <v>0.03</v>
      </c>
      <c r="I18" s="56"/>
      <c r="J18" s="56"/>
      <c r="K18" s="56"/>
      <c r="L18" s="23"/>
      <c r="M18" s="23"/>
      <c r="N18" s="23"/>
      <c r="O18" s="23"/>
      <c r="P18" s="55">
        <f t="shared" ref="P18:P19" si="2">SUM(D18:O18)</f>
        <v>0.03</v>
      </c>
    </row>
    <row r="19" spans="3:16">
      <c r="C19" s="24" t="s">
        <v>53</v>
      </c>
      <c r="D19" s="56"/>
      <c r="E19" s="56"/>
      <c r="F19" s="56"/>
      <c r="G19" s="56"/>
      <c r="H19" s="56">
        <v>0.06</v>
      </c>
      <c r="I19" s="56"/>
      <c r="J19" s="56"/>
      <c r="K19" s="56"/>
      <c r="L19" s="23"/>
      <c r="M19" s="23">
        <v>0.1</v>
      </c>
      <c r="N19" s="23">
        <f>0.14</f>
        <v>0.14000000000000001</v>
      </c>
      <c r="O19" s="23"/>
      <c r="P19" s="55">
        <f t="shared" si="2"/>
        <v>0.30000000000000004</v>
      </c>
    </row>
    <row r="20" spans="3:16">
      <c r="C20" s="25" t="s">
        <v>39</v>
      </c>
      <c r="D20" s="56"/>
      <c r="E20" s="56"/>
      <c r="F20" s="56"/>
      <c r="G20" s="56"/>
      <c r="H20" s="56">
        <v>0.04</v>
      </c>
      <c r="I20" s="56"/>
      <c r="J20" s="56"/>
      <c r="K20" s="56"/>
      <c r="L20" s="23"/>
      <c r="M20" s="23"/>
      <c r="N20" s="23"/>
      <c r="O20" s="23"/>
      <c r="P20" s="55">
        <f>SUM(D20:O20)</f>
        <v>0.04</v>
      </c>
    </row>
    <row r="21" spans="3:16">
      <c r="C21" s="24" t="s">
        <v>76</v>
      </c>
      <c r="D21" s="56"/>
      <c r="E21" s="56"/>
      <c r="F21" s="56"/>
      <c r="G21" s="56"/>
      <c r="H21" s="56"/>
      <c r="I21" s="56"/>
      <c r="J21" s="56"/>
      <c r="K21" s="56"/>
      <c r="L21" s="23"/>
      <c r="M21" s="23">
        <f>0.08</f>
        <v>0.08</v>
      </c>
      <c r="N21" s="23"/>
      <c r="O21" s="23"/>
      <c r="P21" s="55">
        <f>SUM(D21:O21)</f>
        <v>0.08</v>
      </c>
    </row>
    <row r="22" spans="3:16">
      <c r="C22" s="24" t="s">
        <v>69</v>
      </c>
      <c r="D22" s="58">
        <f t="shared" ref="D22:L22" si="3">SUM(D16:D21)</f>
        <v>0</v>
      </c>
      <c r="E22" s="58">
        <f t="shared" si="3"/>
        <v>0</v>
      </c>
      <c r="F22" s="58">
        <f t="shared" si="3"/>
        <v>0</v>
      </c>
      <c r="G22" s="58">
        <f t="shared" si="3"/>
        <v>0</v>
      </c>
      <c r="H22" s="58">
        <f t="shared" si="3"/>
        <v>2.085</v>
      </c>
      <c r="I22" s="58">
        <f t="shared" si="3"/>
        <v>0.42000000000000004</v>
      </c>
      <c r="J22" s="58">
        <f t="shared" si="3"/>
        <v>0</v>
      </c>
      <c r="K22" s="58">
        <f t="shared" si="3"/>
        <v>0</v>
      </c>
      <c r="L22" s="58">
        <f t="shared" si="3"/>
        <v>0</v>
      </c>
      <c r="M22" s="58">
        <f>SUM(M16:M21)</f>
        <v>2.1300000000000003</v>
      </c>
      <c r="N22" s="58">
        <f t="shared" ref="N22:O22" si="4">SUM(N16:N21)</f>
        <v>1.8800000000000003</v>
      </c>
      <c r="O22" s="58">
        <f t="shared" si="4"/>
        <v>0</v>
      </c>
      <c r="P22" s="58">
        <f>SUM(P16:P21)</f>
        <v>6.5150000000000006</v>
      </c>
    </row>
  </sheetData>
  <mergeCells count="1">
    <mergeCell ref="C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AA341-329E-4DCD-9DBA-987D80CFBCC2}">
  <dimension ref="B1:M14"/>
  <sheetViews>
    <sheetView workbookViewId="0">
      <selection activeCell="K12" sqref="K12"/>
    </sheetView>
  </sheetViews>
  <sheetFormatPr defaultRowHeight="15"/>
  <cols>
    <col min="1" max="1" width="13.7109375" customWidth="1"/>
    <col min="2" max="2" width="40.85546875" customWidth="1"/>
    <col min="3" max="3" width="14.140625" customWidth="1"/>
    <col min="4" max="4" width="12" customWidth="1"/>
    <col min="5" max="5" width="14.28515625" customWidth="1"/>
    <col min="11" max="11" width="50.7109375" customWidth="1"/>
  </cols>
  <sheetData>
    <row r="1" spans="2:13" ht="32.25" customHeight="1">
      <c r="C1" s="88" t="s">
        <v>81</v>
      </c>
      <c r="D1" s="88"/>
      <c r="E1" s="88"/>
    </row>
    <row r="2" spans="2:13">
      <c r="B2" s="89" t="s">
        <v>4</v>
      </c>
      <c r="C2" s="2" t="s">
        <v>61</v>
      </c>
      <c r="D2" s="2" t="s">
        <v>62</v>
      </c>
      <c r="E2" s="2" t="s">
        <v>74</v>
      </c>
      <c r="L2" s="79" t="s">
        <v>119</v>
      </c>
      <c r="M2" s="79" t="s">
        <v>120</v>
      </c>
    </row>
    <row r="3" spans="2:13" ht="30">
      <c r="B3" s="90"/>
      <c r="C3" s="15" t="s">
        <v>80</v>
      </c>
      <c r="D3" s="15" t="s">
        <v>82</v>
      </c>
      <c r="E3" s="15" t="s">
        <v>84</v>
      </c>
      <c r="K3" t="s">
        <v>118</v>
      </c>
      <c r="L3" s="81">
        <v>529.20000000000005</v>
      </c>
      <c r="M3" s="1">
        <f>464*1.08</f>
        <v>501.12</v>
      </c>
    </row>
    <row r="4" spans="2:13">
      <c r="B4" s="22" t="s">
        <v>38</v>
      </c>
      <c r="C4" s="23">
        <f>95*1.08</f>
        <v>102.60000000000001</v>
      </c>
      <c r="D4" s="23">
        <f>76*1.08</f>
        <v>82.080000000000013</v>
      </c>
      <c r="E4" s="10">
        <f>59.8*1.08</f>
        <v>64.584000000000003</v>
      </c>
      <c r="K4" t="s">
        <v>121</v>
      </c>
      <c r="L4" s="81">
        <v>901.8</v>
      </c>
      <c r="M4" s="1">
        <f>749*1.08</f>
        <v>808.92000000000007</v>
      </c>
    </row>
    <row r="5" spans="2:13">
      <c r="B5" s="24" t="s">
        <v>53</v>
      </c>
      <c r="C5" s="23">
        <f>1095*1.08</f>
        <v>1182.6000000000001</v>
      </c>
      <c r="D5" s="23">
        <f>876*1.08</f>
        <v>946.08</v>
      </c>
      <c r="E5" s="23">
        <f>690*1.08</f>
        <v>745.2</v>
      </c>
    </row>
    <row r="6" spans="2:13">
      <c r="B6" s="24" t="s">
        <v>56</v>
      </c>
      <c r="C6" s="23">
        <f>91.25*1.08</f>
        <v>98.550000000000011</v>
      </c>
      <c r="D6" s="23">
        <f>73*1.08</f>
        <v>78.84</v>
      </c>
      <c r="E6" s="23">
        <f>57.2*1.08</f>
        <v>61.77600000000001</v>
      </c>
    </row>
    <row r="7" spans="2:13">
      <c r="B7" s="25" t="s">
        <v>39</v>
      </c>
      <c r="C7" s="23">
        <f>201.25*1.08</f>
        <v>217.35000000000002</v>
      </c>
      <c r="D7" s="23">
        <f>161*1.08</f>
        <v>173.88000000000002</v>
      </c>
      <c r="E7" s="23">
        <f>126.5*1.08</f>
        <v>136.62</v>
      </c>
    </row>
    <row r="8" spans="2:13" ht="30.75" customHeight="1">
      <c r="B8" s="26" t="s">
        <v>40</v>
      </c>
      <c r="C8" s="23">
        <f>485*1.08</f>
        <v>523.80000000000007</v>
      </c>
      <c r="D8" s="23">
        <f>388*1.08</f>
        <v>419.04</v>
      </c>
      <c r="E8" s="23">
        <f>305.9*1.08</f>
        <v>330.37200000000001</v>
      </c>
    </row>
    <row r="9" spans="2:13" ht="32.25" customHeight="1">
      <c r="B9" s="13" t="s">
        <v>44</v>
      </c>
      <c r="C9" s="23">
        <f>710*1.08</f>
        <v>766.80000000000007</v>
      </c>
      <c r="D9" s="23">
        <f>568*1.08</f>
        <v>613.44000000000005</v>
      </c>
      <c r="E9" s="23">
        <f>447.35*1.08</f>
        <v>483.13800000000003</v>
      </c>
    </row>
    <row r="10" spans="2:13">
      <c r="B10" s="27" t="s">
        <v>54</v>
      </c>
      <c r="C10" s="41">
        <f>638.75*1.08</f>
        <v>689.85</v>
      </c>
      <c r="D10" s="23">
        <f>511*1.08</f>
        <v>551.88</v>
      </c>
      <c r="E10" s="23">
        <f>402.5*1.08</f>
        <v>434.70000000000005</v>
      </c>
    </row>
    <row r="11" spans="2:13" ht="30" customHeight="1">
      <c r="B11" s="28" t="s">
        <v>42</v>
      </c>
      <c r="C11" s="23">
        <f>841.25*1.08</f>
        <v>908.55000000000007</v>
      </c>
      <c r="D11" s="65">
        <f>673*1.08</f>
        <v>726.84</v>
      </c>
      <c r="E11" s="23">
        <f>530.15*1.08</f>
        <v>572.56200000000001</v>
      </c>
    </row>
    <row r="12" spans="2:13" ht="24" customHeight="1">
      <c r="B12" s="13" t="s">
        <v>43</v>
      </c>
      <c r="C12" s="23">
        <f>1277.5*1.08</f>
        <v>1379.7</v>
      </c>
      <c r="D12" s="23">
        <f>1022*1.08</f>
        <v>1103.76</v>
      </c>
      <c r="E12" s="23">
        <f>805*1.08</f>
        <v>869.40000000000009</v>
      </c>
    </row>
    <row r="13" spans="2:13" ht="34.5" customHeight="1">
      <c r="B13" s="29" t="s">
        <v>41</v>
      </c>
      <c r="C13" s="23">
        <f>602.5*1.08</f>
        <v>650.70000000000005</v>
      </c>
      <c r="D13" s="23">
        <f>482*1.08</f>
        <v>520.56000000000006</v>
      </c>
      <c r="E13" s="23">
        <f>379.5*1.08</f>
        <v>409.86</v>
      </c>
    </row>
    <row r="14" spans="2:13" ht="25.5" customHeight="1">
      <c r="B14" s="45" t="s">
        <v>55</v>
      </c>
      <c r="C14" s="23">
        <f>1308.75*1.08</f>
        <v>1413.45</v>
      </c>
      <c r="D14" s="23">
        <f>1047*1.08</f>
        <v>1130.76</v>
      </c>
      <c r="E14" s="23" t="s">
        <v>83</v>
      </c>
    </row>
  </sheetData>
  <mergeCells count="2">
    <mergeCell ref="C1:E1"/>
    <mergeCell ref="B2:B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B769-C42A-44CE-A63F-D59FD3D179CD}">
  <dimension ref="A1:U59"/>
  <sheetViews>
    <sheetView topLeftCell="A37" workbookViewId="0">
      <selection sqref="A1:U1"/>
    </sheetView>
  </sheetViews>
  <sheetFormatPr defaultRowHeight="15"/>
  <cols>
    <col min="2" max="2" width="24.28515625" customWidth="1"/>
    <col min="3" max="3" width="15" customWidth="1"/>
    <col min="4" max="4" width="14.7109375" customWidth="1"/>
    <col min="7" max="7" width="11.85546875" customWidth="1"/>
    <col min="8" max="8" width="23" customWidth="1"/>
    <col min="9" max="9" width="14" customWidth="1"/>
    <col min="10" max="10" width="15.140625" customWidth="1"/>
    <col min="13" max="13" width="11.7109375" customWidth="1"/>
    <col min="17" max="17" width="14.140625" customWidth="1"/>
  </cols>
  <sheetData>
    <row r="1" spans="1:21">
      <c r="A1" s="92" t="s">
        <v>85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1" ht="47.25">
      <c r="A2" s="66" t="s">
        <v>0</v>
      </c>
      <c r="B2" s="66" t="s">
        <v>1</v>
      </c>
      <c r="C2" s="66" t="s">
        <v>2</v>
      </c>
      <c r="D2" s="66" t="s">
        <v>9</v>
      </c>
      <c r="G2" s="60" t="s">
        <v>0</v>
      </c>
      <c r="H2" s="61" t="s">
        <v>45</v>
      </c>
      <c r="I2" s="61" t="s">
        <v>46</v>
      </c>
      <c r="J2" s="61" t="s">
        <v>47</v>
      </c>
      <c r="M2" s="2" t="s">
        <v>0</v>
      </c>
      <c r="N2" s="15" t="s">
        <v>1</v>
      </c>
      <c r="O2" s="15" t="s">
        <v>2</v>
      </c>
      <c r="P2" s="15" t="s">
        <v>49</v>
      </c>
      <c r="Q2" s="15" t="s">
        <v>48</v>
      </c>
    </row>
    <row r="3" spans="1:21">
      <c r="A3" s="11" t="s">
        <v>19</v>
      </c>
      <c r="B3" s="16">
        <v>190044.22</v>
      </c>
      <c r="C3" s="16">
        <v>205247.75</v>
      </c>
      <c r="D3" s="11">
        <v>402.48</v>
      </c>
      <c r="G3" s="11" t="s">
        <v>19</v>
      </c>
      <c r="H3" s="16">
        <v>158220.22</v>
      </c>
      <c r="I3" s="16">
        <v>93336.3</v>
      </c>
      <c r="J3" s="16">
        <f t="shared" ref="J3:J14" si="0">H3+I3</f>
        <v>251556.52000000002</v>
      </c>
      <c r="M3" s="11" t="s">
        <v>7</v>
      </c>
      <c r="N3" s="16">
        <v>921</v>
      </c>
      <c r="O3" s="16">
        <v>994.68</v>
      </c>
      <c r="P3" s="11">
        <v>89.7</v>
      </c>
      <c r="Q3" s="11">
        <v>2</v>
      </c>
    </row>
    <row r="4" spans="1:21">
      <c r="A4" s="11" t="s">
        <v>3</v>
      </c>
      <c r="B4" s="16">
        <v>151532.91</v>
      </c>
      <c r="C4" s="16">
        <v>163655.54</v>
      </c>
      <c r="D4" s="11">
        <v>353.22</v>
      </c>
      <c r="G4" s="11" t="s">
        <v>3</v>
      </c>
      <c r="H4" s="16">
        <v>143180.35</v>
      </c>
      <c r="I4" s="16">
        <v>74542.789999999994</v>
      </c>
      <c r="J4" s="16">
        <f t="shared" si="0"/>
        <v>217723.14</v>
      </c>
      <c r="M4" s="11" t="s">
        <v>10</v>
      </c>
      <c r="N4" s="41">
        <v>976.4</v>
      </c>
      <c r="O4" s="53">
        <v>1054.51</v>
      </c>
      <c r="P4" s="16">
        <v>95</v>
      </c>
      <c r="Q4" s="11">
        <v>2.2000000000000002</v>
      </c>
    </row>
    <row r="5" spans="1:21">
      <c r="A5" s="11" t="s">
        <v>7</v>
      </c>
      <c r="B5" s="16">
        <v>147634.93</v>
      </c>
      <c r="C5" s="16">
        <v>159445.72</v>
      </c>
      <c r="D5" s="10">
        <v>293.44</v>
      </c>
      <c r="G5" s="11" t="s">
        <v>7</v>
      </c>
      <c r="H5" s="16">
        <v>118477.3</v>
      </c>
      <c r="I5" s="16">
        <v>66552.84</v>
      </c>
      <c r="J5" s="16">
        <f t="shared" si="0"/>
        <v>185030.14</v>
      </c>
      <c r="M5" s="11" t="s">
        <v>12</v>
      </c>
      <c r="N5" s="16">
        <v>868</v>
      </c>
      <c r="O5" s="16">
        <v>937.44</v>
      </c>
      <c r="P5" s="11">
        <v>83.2</v>
      </c>
      <c r="Q5" s="11">
        <v>3</v>
      </c>
    </row>
    <row r="6" spans="1:21">
      <c r="A6" s="11" t="s">
        <v>8</v>
      </c>
      <c r="B6" s="16">
        <v>204807.54</v>
      </c>
      <c r="C6" s="16">
        <v>221192.15</v>
      </c>
      <c r="D6" s="10">
        <v>354.18</v>
      </c>
      <c r="G6" s="11" t="s">
        <v>8</v>
      </c>
      <c r="H6" s="16">
        <v>141021.22</v>
      </c>
      <c r="I6" s="16">
        <v>79899.48</v>
      </c>
      <c r="J6" s="16">
        <f t="shared" si="0"/>
        <v>220920.7</v>
      </c>
      <c r="M6" s="11" t="s">
        <v>15</v>
      </c>
      <c r="N6" s="16">
        <v>1208</v>
      </c>
      <c r="O6" s="16">
        <v>1304.6400000000001</v>
      </c>
      <c r="P6" s="11">
        <v>118.4</v>
      </c>
      <c r="Q6" s="11">
        <v>2</v>
      </c>
    </row>
    <row r="7" spans="1:21">
      <c r="A7" s="11" t="s">
        <v>10</v>
      </c>
      <c r="B7" s="16">
        <v>210880.98</v>
      </c>
      <c r="C7" s="16">
        <v>227751.46</v>
      </c>
      <c r="D7" s="11">
        <v>382.4</v>
      </c>
      <c r="G7" s="11" t="s">
        <v>10</v>
      </c>
      <c r="H7" s="31">
        <v>153404.5</v>
      </c>
      <c r="I7" s="39">
        <v>78149.990000000005</v>
      </c>
      <c r="J7" s="16">
        <f t="shared" si="0"/>
        <v>231554.49</v>
      </c>
      <c r="M7" s="11" t="s">
        <v>17</v>
      </c>
      <c r="N7" s="16"/>
      <c r="O7" s="16"/>
      <c r="P7" s="11"/>
      <c r="Q7" s="11"/>
    </row>
    <row r="8" spans="1:21">
      <c r="A8" s="11" t="s">
        <v>11</v>
      </c>
      <c r="B8" s="16">
        <v>189753.5</v>
      </c>
      <c r="C8" s="16">
        <v>204933.77</v>
      </c>
      <c r="D8" s="11">
        <v>346.22</v>
      </c>
      <c r="G8" s="11" t="s">
        <v>11</v>
      </c>
      <c r="H8" s="16">
        <v>140798.95000000001</v>
      </c>
      <c r="I8" s="16">
        <v>67977.679999999993</v>
      </c>
      <c r="J8" s="16">
        <f t="shared" si="0"/>
        <v>208776.63</v>
      </c>
      <c r="M8" s="11" t="s">
        <v>19</v>
      </c>
      <c r="N8" s="16"/>
      <c r="O8" s="16"/>
      <c r="P8" s="11"/>
      <c r="Q8" s="11"/>
    </row>
    <row r="9" spans="1:21">
      <c r="A9" s="11" t="s">
        <v>12</v>
      </c>
      <c r="B9" s="16">
        <v>229792.42</v>
      </c>
      <c r="C9" s="16">
        <v>248175.81</v>
      </c>
      <c r="D9" s="11">
        <v>384.52</v>
      </c>
      <c r="G9" s="11" t="s">
        <v>12</v>
      </c>
      <c r="H9" s="16">
        <v>155489.54</v>
      </c>
      <c r="I9" s="16">
        <v>79376.44</v>
      </c>
      <c r="J9" s="16">
        <f t="shared" si="0"/>
        <v>234865.98</v>
      </c>
      <c r="M9" s="17" t="s">
        <v>20</v>
      </c>
      <c r="N9" s="18">
        <f>SUM(N3:N8)</f>
        <v>3973.4</v>
      </c>
      <c r="O9" s="18">
        <f>SUM(O3:O8)</f>
        <v>4291.2700000000004</v>
      </c>
      <c r="P9" s="18">
        <f t="shared" ref="P9:Q9" si="1">SUM(P3:P8)</f>
        <v>386.29999999999995</v>
      </c>
      <c r="Q9" s="40">
        <f t="shared" si="1"/>
        <v>9.1999999999999993</v>
      </c>
    </row>
    <row r="10" spans="1:21">
      <c r="A10" s="11" t="s">
        <v>14</v>
      </c>
      <c r="B10" s="16">
        <v>202917.66</v>
      </c>
      <c r="C10" s="16">
        <v>219151.07</v>
      </c>
      <c r="D10" s="11">
        <v>372.06</v>
      </c>
      <c r="G10" s="11" t="s">
        <v>14</v>
      </c>
      <c r="H10" s="16">
        <v>152790.62</v>
      </c>
      <c r="I10" s="16">
        <v>75156.009999999995</v>
      </c>
      <c r="J10" s="16">
        <f t="shared" si="0"/>
        <v>227946.63</v>
      </c>
    </row>
    <row r="11" spans="1:21">
      <c r="A11" s="11" t="s">
        <v>15</v>
      </c>
      <c r="B11" s="16">
        <v>209014.88</v>
      </c>
      <c r="C11" s="16">
        <v>225736.07</v>
      </c>
      <c r="D11" s="11">
        <v>377.66</v>
      </c>
      <c r="G11" s="11" t="s">
        <v>15</v>
      </c>
      <c r="H11" s="31">
        <v>151615.79999999999</v>
      </c>
      <c r="I11" s="31">
        <v>82208.09</v>
      </c>
      <c r="J11" s="16">
        <f t="shared" si="0"/>
        <v>233823.88999999998</v>
      </c>
    </row>
    <row r="12" spans="1:21">
      <c r="A12" s="11" t="s">
        <v>16</v>
      </c>
      <c r="B12" s="16">
        <v>257161.38</v>
      </c>
      <c r="C12" s="39">
        <v>277734.28999999998</v>
      </c>
      <c r="D12" s="10">
        <v>403.62</v>
      </c>
      <c r="G12" s="11" t="s">
        <v>16</v>
      </c>
      <c r="H12" s="16">
        <v>157564.01</v>
      </c>
      <c r="I12" s="16">
        <v>95482.58</v>
      </c>
      <c r="J12" s="16">
        <f t="shared" si="0"/>
        <v>253046.59000000003</v>
      </c>
    </row>
    <row r="13" spans="1:21">
      <c r="A13" s="11" t="s">
        <v>17</v>
      </c>
      <c r="B13" s="16"/>
      <c r="C13" s="16"/>
      <c r="D13" s="11"/>
      <c r="G13" s="11" t="s">
        <v>17</v>
      </c>
      <c r="H13" s="16"/>
      <c r="I13" s="39"/>
      <c r="J13" s="16">
        <f t="shared" si="0"/>
        <v>0</v>
      </c>
    </row>
    <row r="14" spans="1:21">
      <c r="A14" s="11" t="s">
        <v>18</v>
      </c>
      <c r="B14" s="39"/>
      <c r="C14" s="16"/>
      <c r="D14" s="11"/>
      <c r="G14" s="11" t="s">
        <v>18</v>
      </c>
      <c r="H14" s="39"/>
      <c r="I14" s="16"/>
      <c r="J14" s="16">
        <f t="shared" si="0"/>
        <v>0</v>
      </c>
    </row>
    <row r="15" spans="1:21">
      <c r="A15" s="2" t="s">
        <v>20</v>
      </c>
      <c r="B15" s="32">
        <f>SUM(B3:B14)</f>
        <v>1993540.42</v>
      </c>
      <c r="C15" s="32">
        <f>SUM(C3:C14)</f>
        <v>2153023.63</v>
      </c>
      <c r="D15" s="32">
        <f>SUM(D3:D12)</f>
        <v>3669.8</v>
      </c>
      <c r="G15" s="2" t="s">
        <v>20</v>
      </c>
      <c r="H15" s="32">
        <f>SUM(H3:H14)</f>
        <v>1472562.5100000002</v>
      </c>
      <c r="I15" s="32">
        <f t="shared" ref="I15" si="2">SUM(I3:I14)</f>
        <v>792682.2</v>
      </c>
      <c r="J15" s="32">
        <f>SUM(J3:J14)</f>
        <v>2265244.71</v>
      </c>
    </row>
    <row r="18" spans="1:17">
      <c r="A18" s="57" t="s">
        <v>86</v>
      </c>
      <c r="B18" s="57"/>
      <c r="C18" s="57"/>
    </row>
    <row r="19" spans="1:17">
      <c r="G19" s="94" t="s">
        <v>87</v>
      </c>
      <c r="H19" s="94"/>
      <c r="I19" s="95" t="s">
        <v>88</v>
      </c>
      <c r="J19" s="95"/>
    </row>
    <row r="20" spans="1:17">
      <c r="A20" t="s">
        <v>89</v>
      </c>
      <c r="C20" s="68" t="s">
        <v>90</v>
      </c>
      <c r="G20" s="94"/>
      <c r="H20" s="94"/>
      <c r="I20" s="67" t="s">
        <v>91</v>
      </c>
      <c r="J20" s="67" t="s">
        <v>92</v>
      </c>
    </row>
    <row r="21" spans="1:17" ht="30" customHeight="1">
      <c r="A21" t="s">
        <v>93</v>
      </c>
      <c r="C21" s="69">
        <v>12701.31</v>
      </c>
      <c r="G21" s="70">
        <v>4010</v>
      </c>
      <c r="H21" s="71" t="s">
        <v>94</v>
      </c>
      <c r="I21" s="72">
        <v>145211</v>
      </c>
      <c r="J21" s="72">
        <v>116799.88</v>
      </c>
    </row>
    <row r="22" spans="1:17" ht="45.75" customHeight="1">
      <c r="A22" s="93" t="s">
        <v>95</v>
      </c>
      <c r="B22" s="93"/>
      <c r="C22" s="68">
        <v>35988.36</v>
      </c>
      <c r="G22" s="70">
        <v>4110</v>
      </c>
      <c r="H22" s="74" t="s">
        <v>96</v>
      </c>
      <c r="I22" s="72">
        <v>29860.799999999999</v>
      </c>
      <c r="J22" s="72">
        <v>23204.77</v>
      </c>
    </row>
    <row r="23" spans="1:17">
      <c r="A23" t="s">
        <v>97</v>
      </c>
      <c r="C23" s="68">
        <v>7321.71</v>
      </c>
      <c r="G23" s="70">
        <v>4120</v>
      </c>
      <c r="H23" s="71" t="s">
        <v>98</v>
      </c>
      <c r="I23" s="72">
        <v>4255.8999999999996</v>
      </c>
      <c r="J23" s="72">
        <v>3282.45</v>
      </c>
    </row>
    <row r="24" spans="1:17" ht="30">
      <c r="A24" s="96" t="s">
        <v>99</v>
      </c>
      <c r="B24" s="96"/>
      <c r="C24" s="68">
        <v>7064.88</v>
      </c>
      <c r="G24" s="70">
        <v>4040</v>
      </c>
      <c r="H24" s="71" t="s">
        <v>100</v>
      </c>
      <c r="I24" s="72">
        <v>13500</v>
      </c>
      <c r="J24" s="72">
        <v>10971.13</v>
      </c>
    </row>
    <row r="25" spans="1:17">
      <c r="G25" s="70">
        <v>4170</v>
      </c>
      <c r="H25" s="75" t="s">
        <v>101</v>
      </c>
      <c r="I25" s="72">
        <v>15000</v>
      </c>
      <c r="J25" s="72">
        <v>8242.7000000000007</v>
      </c>
    </row>
    <row r="26" spans="1:17">
      <c r="G26" s="70">
        <v>4300</v>
      </c>
      <c r="H26" s="75" t="s">
        <v>102</v>
      </c>
      <c r="I26" s="72">
        <v>5267712.3</v>
      </c>
      <c r="J26" s="72">
        <f>C15+H15+I15+C21+C22+C23+C24+O9</f>
        <v>4485635.8699999992</v>
      </c>
    </row>
    <row r="27" spans="1:17">
      <c r="G27" s="70">
        <v>4430</v>
      </c>
      <c r="H27" s="75" t="s">
        <v>103</v>
      </c>
      <c r="I27" s="72">
        <v>74460</v>
      </c>
      <c r="J27" s="72" t="str">
        <f>C20</f>
        <v>55  845,00</v>
      </c>
    </row>
    <row r="28" spans="1:17">
      <c r="G28" s="75"/>
      <c r="H28" s="76" t="s">
        <v>20</v>
      </c>
      <c r="I28" s="77">
        <f>SUM(I21:I27)</f>
        <v>5550000</v>
      </c>
      <c r="J28" s="77">
        <f>SUM(J21:J27)</f>
        <v>4648136.7999999989</v>
      </c>
    </row>
    <row r="30" spans="1:17">
      <c r="A30" s="92" t="s">
        <v>106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</row>
    <row r="32" spans="1:17" ht="47.25">
      <c r="A32" s="61" t="s">
        <v>0</v>
      </c>
      <c r="B32" s="66" t="s">
        <v>1</v>
      </c>
      <c r="C32" s="66" t="s">
        <v>2</v>
      </c>
      <c r="D32" s="66" t="s">
        <v>9</v>
      </c>
      <c r="G32" s="60" t="s">
        <v>0</v>
      </c>
      <c r="H32" s="61" t="s">
        <v>45</v>
      </c>
      <c r="I32" s="61" t="s">
        <v>46</v>
      </c>
      <c r="J32" s="61" t="s">
        <v>47</v>
      </c>
      <c r="M32" s="2" t="s">
        <v>0</v>
      </c>
      <c r="N32" s="15" t="s">
        <v>1</v>
      </c>
      <c r="O32" s="15" t="s">
        <v>2</v>
      </c>
      <c r="P32" s="15" t="s">
        <v>49</v>
      </c>
      <c r="Q32" s="15" t="s">
        <v>48</v>
      </c>
    </row>
    <row r="33" spans="1:17">
      <c r="A33" s="11" t="s">
        <v>19</v>
      </c>
      <c r="B33" s="16">
        <v>190044.22</v>
      </c>
      <c r="C33" s="16">
        <v>205247.75</v>
      </c>
      <c r="D33" s="11">
        <v>402.48</v>
      </c>
      <c r="G33" s="11" t="s">
        <v>19</v>
      </c>
      <c r="H33" s="16">
        <v>158220.22</v>
      </c>
      <c r="I33" s="16">
        <v>93336.3</v>
      </c>
      <c r="J33" s="16">
        <f t="shared" ref="J33:J44" si="3">H33+I33</f>
        <v>251556.52000000002</v>
      </c>
      <c r="M33" s="11" t="s">
        <v>7</v>
      </c>
      <c r="N33" s="16">
        <v>921</v>
      </c>
      <c r="O33" s="16">
        <v>994.68</v>
      </c>
      <c r="P33" s="11">
        <v>89.7</v>
      </c>
      <c r="Q33" s="11">
        <v>2</v>
      </c>
    </row>
    <row r="34" spans="1:17">
      <c r="A34" s="11" t="s">
        <v>3</v>
      </c>
      <c r="B34" s="16">
        <v>151532.91</v>
      </c>
      <c r="C34" s="16">
        <v>163655.54</v>
      </c>
      <c r="D34" s="11">
        <v>353.22</v>
      </c>
      <c r="G34" s="11" t="s">
        <v>3</v>
      </c>
      <c r="H34" s="16">
        <v>143180.35</v>
      </c>
      <c r="I34" s="16">
        <v>74542.789999999994</v>
      </c>
      <c r="J34" s="16">
        <f t="shared" si="3"/>
        <v>217723.14</v>
      </c>
      <c r="M34" s="11" t="s">
        <v>10</v>
      </c>
      <c r="N34" s="41">
        <v>976.4</v>
      </c>
      <c r="O34" s="53">
        <v>1054.51</v>
      </c>
      <c r="P34" s="16">
        <v>95</v>
      </c>
      <c r="Q34" s="11">
        <v>2.2000000000000002</v>
      </c>
    </row>
    <row r="35" spans="1:17">
      <c r="A35" s="11" t="s">
        <v>7</v>
      </c>
      <c r="B35" s="16">
        <v>147634.93</v>
      </c>
      <c r="C35" s="16">
        <v>159445.72</v>
      </c>
      <c r="D35" s="10">
        <v>293.44</v>
      </c>
      <c r="G35" s="11" t="s">
        <v>7</v>
      </c>
      <c r="H35" s="16">
        <v>118477.3</v>
      </c>
      <c r="I35" s="16">
        <v>66552.84</v>
      </c>
      <c r="J35" s="16">
        <f t="shared" si="3"/>
        <v>185030.14</v>
      </c>
      <c r="M35" s="11" t="s">
        <v>12</v>
      </c>
      <c r="N35" s="16">
        <v>868</v>
      </c>
      <c r="O35" s="16">
        <v>937.44</v>
      </c>
      <c r="P35" s="11">
        <v>83.2</v>
      </c>
      <c r="Q35" s="11">
        <v>3</v>
      </c>
    </row>
    <row r="36" spans="1:17">
      <c r="A36" s="11" t="s">
        <v>8</v>
      </c>
      <c r="B36" s="16">
        <v>204807.54</v>
      </c>
      <c r="C36" s="16">
        <v>221192.15</v>
      </c>
      <c r="D36" s="10">
        <v>354.18</v>
      </c>
      <c r="G36" s="11" t="s">
        <v>8</v>
      </c>
      <c r="H36" s="16">
        <v>141021.22</v>
      </c>
      <c r="I36" s="16">
        <v>79899.48</v>
      </c>
      <c r="J36" s="16">
        <f t="shared" si="3"/>
        <v>220920.7</v>
      </c>
      <c r="M36" s="11" t="s">
        <v>15</v>
      </c>
      <c r="N36" s="16">
        <v>1208</v>
      </c>
      <c r="O36" s="16">
        <v>1304.6400000000001</v>
      </c>
      <c r="P36" s="11">
        <v>118.4</v>
      </c>
      <c r="Q36" s="11">
        <v>2</v>
      </c>
    </row>
    <row r="37" spans="1:17">
      <c r="A37" s="11" t="s">
        <v>10</v>
      </c>
      <c r="B37" s="16">
        <v>210880.98</v>
      </c>
      <c r="C37" s="16">
        <v>227751.46</v>
      </c>
      <c r="D37" s="11">
        <v>382.4</v>
      </c>
      <c r="G37" s="11" t="s">
        <v>10</v>
      </c>
      <c r="H37" s="31">
        <v>153404.5</v>
      </c>
      <c r="I37" s="39">
        <v>78149.990000000005</v>
      </c>
      <c r="J37" s="16">
        <f t="shared" si="3"/>
        <v>231554.49</v>
      </c>
      <c r="M37" s="11" t="s">
        <v>17</v>
      </c>
      <c r="N37" s="16">
        <v>1289</v>
      </c>
      <c r="O37" s="16">
        <v>1392.12</v>
      </c>
      <c r="P37" s="11">
        <v>126.5</v>
      </c>
      <c r="Q37" s="11">
        <v>2</v>
      </c>
    </row>
    <row r="38" spans="1:17">
      <c r="A38" s="11" t="s">
        <v>11</v>
      </c>
      <c r="B38" s="16">
        <v>189753.5</v>
      </c>
      <c r="C38" s="16">
        <v>204933.77</v>
      </c>
      <c r="D38" s="11">
        <v>346.22</v>
      </c>
      <c r="G38" s="11" t="s">
        <v>11</v>
      </c>
      <c r="H38" s="16">
        <v>140798.95000000001</v>
      </c>
      <c r="I38" s="16">
        <v>67977.679999999993</v>
      </c>
      <c r="J38" s="16">
        <f t="shared" si="3"/>
        <v>208776.63</v>
      </c>
      <c r="M38" s="11" t="s">
        <v>19</v>
      </c>
      <c r="N38" s="16">
        <v>1243</v>
      </c>
      <c r="O38" s="16">
        <v>1342.44</v>
      </c>
      <c r="P38" s="11">
        <v>121.9</v>
      </c>
      <c r="Q38" s="11">
        <v>2</v>
      </c>
    </row>
    <row r="39" spans="1:17">
      <c r="A39" s="11" t="s">
        <v>12</v>
      </c>
      <c r="B39" s="16">
        <v>229792.42</v>
      </c>
      <c r="C39" s="16">
        <v>248175.81</v>
      </c>
      <c r="D39" s="11">
        <v>384.52</v>
      </c>
      <c r="G39" s="11" t="s">
        <v>12</v>
      </c>
      <c r="H39" s="16">
        <v>155489.54</v>
      </c>
      <c r="I39" s="16">
        <v>79376.44</v>
      </c>
      <c r="J39" s="16">
        <f t="shared" si="3"/>
        <v>234865.98</v>
      </c>
      <c r="M39" s="17" t="s">
        <v>20</v>
      </c>
      <c r="N39" s="18">
        <f>SUM(N33:N38)</f>
        <v>6505.4</v>
      </c>
      <c r="O39" s="18">
        <f>SUM(O33:O38)</f>
        <v>7025.83</v>
      </c>
      <c r="P39" s="18">
        <f t="shared" ref="P39:Q39" si="4">SUM(P33:P38)</f>
        <v>634.69999999999993</v>
      </c>
      <c r="Q39" s="40">
        <f t="shared" si="4"/>
        <v>13.2</v>
      </c>
    </row>
    <row r="40" spans="1:17">
      <c r="A40" s="11" t="s">
        <v>14</v>
      </c>
      <c r="B40" s="16">
        <v>202917.66</v>
      </c>
      <c r="C40" s="16">
        <v>219151.07</v>
      </c>
      <c r="D40" s="11">
        <v>372.06</v>
      </c>
      <c r="G40" s="11" t="s">
        <v>14</v>
      </c>
      <c r="H40" s="16">
        <v>152790.62</v>
      </c>
      <c r="I40" s="16">
        <v>75156.009999999995</v>
      </c>
      <c r="J40" s="16">
        <f t="shared" si="3"/>
        <v>227946.63</v>
      </c>
    </row>
    <row r="41" spans="1:17">
      <c r="A41" s="11" t="s">
        <v>15</v>
      </c>
      <c r="B41" s="16">
        <v>209014.88</v>
      </c>
      <c r="C41" s="16">
        <v>225736.07</v>
      </c>
      <c r="D41" s="11">
        <v>377.66</v>
      </c>
      <c r="G41" s="11" t="s">
        <v>15</v>
      </c>
      <c r="H41" s="31">
        <v>151615.79999999999</v>
      </c>
      <c r="I41" s="31">
        <v>82208.09</v>
      </c>
      <c r="J41" s="16">
        <f t="shared" si="3"/>
        <v>233823.88999999998</v>
      </c>
    </row>
    <row r="42" spans="1:17">
      <c r="A42" s="11" t="s">
        <v>16</v>
      </c>
      <c r="B42" s="16">
        <v>257161.38</v>
      </c>
      <c r="C42" s="39">
        <v>277734.28999999998</v>
      </c>
      <c r="D42" s="10">
        <v>403.62</v>
      </c>
      <c r="G42" s="11" t="s">
        <v>16</v>
      </c>
      <c r="H42" s="16">
        <v>157564.01</v>
      </c>
      <c r="I42" s="16">
        <v>95482.58</v>
      </c>
      <c r="J42" s="16">
        <f t="shared" si="3"/>
        <v>253046.59000000003</v>
      </c>
    </row>
    <row r="43" spans="1:17">
      <c r="A43" s="11" t="s">
        <v>17</v>
      </c>
      <c r="B43" s="16">
        <v>212421.26</v>
      </c>
      <c r="C43" s="16">
        <v>229414.96</v>
      </c>
      <c r="D43" s="11">
        <v>382.66</v>
      </c>
      <c r="G43" s="11" t="s">
        <v>17</v>
      </c>
      <c r="H43" s="16">
        <v>159447.96</v>
      </c>
      <c r="I43" s="39">
        <v>73370.45</v>
      </c>
      <c r="J43" s="16">
        <f t="shared" si="3"/>
        <v>232818.40999999997</v>
      </c>
    </row>
    <row r="44" spans="1:17">
      <c r="A44" s="11" t="s">
        <v>18</v>
      </c>
      <c r="B44" s="39">
        <v>165480.18</v>
      </c>
      <c r="C44" s="16">
        <v>178718.59</v>
      </c>
      <c r="D44" s="11">
        <v>306.38</v>
      </c>
      <c r="G44" s="11" t="s">
        <v>18</v>
      </c>
      <c r="H44" s="39">
        <v>125939.02</v>
      </c>
      <c r="I44" s="16">
        <v>61683.12</v>
      </c>
      <c r="J44" s="16">
        <f t="shared" si="3"/>
        <v>187622.14</v>
      </c>
    </row>
    <row r="45" spans="1:17">
      <c r="A45" s="2" t="s">
        <v>20</v>
      </c>
      <c r="B45" s="32">
        <f>SUM(B33:B44)</f>
        <v>2371441.86</v>
      </c>
      <c r="C45" s="32">
        <f>SUM(C33:C44)</f>
        <v>2561157.1799999997</v>
      </c>
      <c r="D45" s="32">
        <f>SUM(D33:D44)</f>
        <v>4358.84</v>
      </c>
      <c r="G45" s="2" t="s">
        <v>20</v>
      </c>
      <c r="H45" s="32">
        <f>SUM(H33:H44)</f>
        <v>1757949.4900000002</v>
      </c>
      <c r="I45" s="32">
        <f t="shared" ref="I45" si="5">SUM(I33:I44)</f>
        <v>927735.7699999999</v>
      </c>
      <c r="J45" s="32">
        <f>SUM(J33:J44)</f>
        <v>2685685.2600000002</v>
      </c>
    </row>
    <row r="48" spans="1:17">
      <c r="A48" s="57" t="s">
        <v>86</v>
      </c>
      <c r="B48" s="57"/>
      <c r="C48" s="57"/>
    </row>
    <row r="49" spans="1:10">
      <c r="G49" s="94" t="s">
        <v>87</v>
      </c>
      <c r="H49" s="94"/>
      <c r="I49" s="95" t="s">
        <v>104</v>
      </c>
      <c r="J49" s="95"/>
    </row>
    <row r="50" spans="1:10">
      <c r="A50" t="s">
        <v>89</v>
      </c>
      <c r="C50" s="68">
        <v>74460</v>
      </c>
      <c r="G50" s="94"/>
      <c r="H50" s="94"/>
      <c r="I50" s="67" t="s">
        <v>91</v>
      </c>
      <c r="J50" s="67" t="s">
        <v>92</v>
      </c>
    </row>
    <row r="51" spans="1:10" ht="30">
      <c r="A51" t="s">
        <v>93</v>
      </c>
      <c r="C51" s="69">
        <v>15701.31</v>
      </c>
      <c r="G51" s="70">
        <v>4010</v>
      </c>
      <c r="H51" s="71" t="s">
        <v>94</v>
      </c>
      <c r="I51" s="72">
        <v>154497.17000000001</v>
      </c>
      <c r="J51" s="72">
        <v>153360.5</v>
      </c>
    </row>
    <row r="52" spans="1:10">
      <c r="A52" s="91" t="s">
        <v>105</v>
      </c>
      <c r="B52" s="91"/>
      <c r="C52" s="69">
        <v>21525</v>
      </c>
      <c r="G52" s="70"/>
      <c r="H52" s="71"/>
      <c r="I52" s="72"/>
      <c r="J52" s="72"/>
    </row>
    <row r="53" spans="1:10" ht="41.25" customHeight="1">
      <c r="A53" s="93" t="s">
        <v>95</v>
      </c>
      <c r="B53" s="93"/>
      <c r="C53" s="68">
        <v>43826.84</v>
      </c>
      <c r="G53" s="70">
        <v>4110</v>
      </c>
      <c r="H53" s="74" t="s">
        <v>96</v>
      </c>
      <c r="I53" s="72">
        <v>29860.799999999999</v>
      </c>
      <c r="J53" s="72">
        <v>29442.03</v>
      </c>
    </row>
    <row r="54" spans="1:10">
      <c r="A54" t="s">
        <v>97</v>
      </c>
      <c r="C54" s="68">
        <v>7321.71</v>
      </c>
      <c r="G54" s="70">
        <v>4120</v>
      </c>
      <c r="H54" s="71" t="s">
        <v>98</v>
      </c>
      <c r="I54" s="72">
        <v>4255.8999999999996</v>
      </c>
      <c r="J54" s="72">
        <v>4178.1899999999996</v>
      </c>
    </row>
    <row r="55" spans="1:10" ht="23.25" customHeight="1">
      <c r="A55" t="s">
        <v>99</v>
      </c>
      <c r="C55" s="68">
        <v>7064.88</v>
      </c>
      <c r="G55" s="70">
        <v>4040</v>
      </c>
      <c r="H55" s="71" t="s">
        <v>100</v>
      </c>
      <c r="I55" s="72">
        <v>10971.13</v>
      </c>
      <c r="J55" s="72">
        <v>10971.13</v>
      </c>
    </row>
    <row r="56" spans="1:10">
      <c r="G56" s="70">
        <v>4170</v>
      </c>
      <c r="H56" s="75" t="s">
        <v>101</v>
      </c>
      <c r="I56" s="72">
        <v>8242.7000000000007</v>
      </c>
      <c r="J56" s="72">
        <v>8242.7000000000007</v>
      </c>
    </row>
    <row r="57" spans="1:10">
      <c r="G57" s="70">
        <v>4300</v>
      </c>
      <c r="H57" s="75" t="s">
        <v>102</v>
      </c>
      <c r="I57" s="72">
        <v>5543712.2999999998</v>
      </c>
      <c r="J57" s="72">
        <f>C45+J45+O39+C51+C52+C53+C54+C55</f>
        <v>5349308.0099999988</v>
      </c>
    </row>
    <row r="58" spans="1:10">
      <c r="G58" s="70">
        <v>4430</v>
      </c>
      <c r="H58" s="75" t="s">
        <v>103</v>
      </c>
      <c r="I58" s="72">
        <v>74460</v>
      </c>
      <c r="J58" s="72">
        <v>74460</v>
      </c>
    </row>
    <row r="59" spans="1:10">
      <c r="G59" s="75"/>
      <c r="H59" s="76" t="s">
        <v>20</v>
      </c>
      <c r="I59" s="77">
        <f>SUM(I51:I58)</f>
        <v>5826000</v>
      </c>
      <c r="J59" s="77">
        <f>SUM(J51:J58)</f>
        <v>5629962.5599999987</v>
      </c>
    </row>
  </sheetData>
  <mergeCells count="10">
    <mergeCell ref="A52:B52"/>
    <mergeCell ref="A30:Q30"/>
    <mergeCell ref="A53:B53"/>
    <mergeCell ref="A1:U1"/>
    <mergeCell ref="G19:H20"/>
    <mergeCell ref="I19:J19"/>
    <mergeCell ref="A22:B22"/>
    <mergeCell ref="A24:B24"/>
    <mergeCell ref="G49:H50"/>
    <mergeCell ref="I49:J4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83388-9F03-4C22-A2CC-D06C8423D555}">
  <dimension ref="A1:P58"/>
  <sheetViews>
    <sheetView topLeftCell="A7" workbookViewId="0">
      <selection sqref="A1:P1"/>
    </sheetView>
  </sheetViews>
  <sheetFormatPr defaultRowHeight="15"/>
  <cols>
    <col min="1" max="1" width="12.28515625" customWidth="1"/>
    <col min="2" max="2" width="14.140625" customWidth="1"/>
    <col min="3" max="3" width="11.140625" customWidth="1"/>
    <col min="6" max="6" width="12.42578125" customWidth="1"/>
    <col min="7" max="7" width="12.140625" customWidth="1"/>
    <col min="8" max="8" width="21.28515625" customWidth="1"/>
    <col min="9" max="9" width="14.140625" customWidth="1"/>
    <col min="10" max="10" width="12.42578125" customWidth="1"/>
    <col min="12" max="12" width="11.7109375" customWidth="1"/>
  </cols>
  <sheetData>
    <row r="1" spans="1:16">
      <c r="A1" s="92" t="s">
        <v>113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ht="78.75">
      <c r="A2" s="61" t="s">
        <v>0</v>
      </c>
      <c r="B2" s="66" t="s">
        <v>107</v>
      </c>
      <c r="C2" s="66" t="s">
        <v>108</v>
      </c>
      <c r="F2" s="60" t="s">
        <v>0</v>
      </c>
      <c r="G2" s="61" t="s">
        <v>45</v>
      </c>
      <c r="H2" s="61" t="s">
        <v>46</v>
      </c>
      <c r="I2" s="61" t="s">
        <v>47</v>
      </c>
      <c r="L2" s="2" t="s">
        <v>0</v>
      </c>
      <c r="M2" s="15" t="s">
        <v>1</v>
      </c>
      <c r="N2" s="15" t="s">
        <v>2</v>
      </c>
      <c r="O2" s="15" t="s">
        <v>49</v>
      </c>
      <c r="P2" s="15" t="s">
        <v>48</v>
      </c>
    </row>
    <row r="3" spans="1:16">
      <c r="A3" s="11" t="s">
        <v>19</v>
      </c>
      <c r="B3" s="16">
        <v>0</v>
      </c>
      <c r="C3" s="16">
        <v>267255.25</v>
      </c>
      <c r="F3" s="11" t="s">
        <v>19</v>
      </c>
      <c r="G3" s="16">
        <v>160876.79999999999</v>
      </c>
      <c r="H3" s="16">
        <v>89494.63</v>
      </c>
      <c r="I3" s="16">
        <f t="shared" ref="I3:I6" si="0">G3+H3</f>
        <v>250371.43</v>
      </c>
      <c r="L3" s="11" t="s">
        <v>7</v>
      </c>
      <c r="M3" s="16">
        <v>1240</v>
      </c>
      <c r="N3" s="16">
        <v>1339.2</v>
      </c>
      <c r="O3" s="11">
        <v>121.6</v>
      </c>
      <c r="P3" s="11">
        <v>2</v>
      </c>
    </row>
    <row r="4" spans="1:16">
      <c r="A4" s="11" t="s">
        <v>3</v>
      </c>
      <c r="B4" s="16">
        <v>11898.72</v>
      </c>
      <c r="C4" s="16">
        <v>270657.37</v>
      </c>
      <c r="F4" s="11" t="s">
        <v>3</v>
      </c>
      <c r="G4" s="16">
        <v>126291.52</v>
      </c>
      <c r="H4" s="16">
        <v>78578.490000000005</v>
      </c>
      <c r="I4" s="16">
        <f t="shared" si="0"/>
        <v>204870.01</v>
      </c>
      <c r="L4" s="11" t="s">
        <v>10</v>
      </c>
      <c r="M4" s="41"/>
      <c r="N4" s="53"/>
      <c r="O4" s="16"/>
      <c r="P4" s="11"/>
    </row>
    <row r="5" spans="1:16">
      <c r="A5" s="11" t="s">
        <v>7</v>
      </c>
      <c r="B5" s="16">
        <v>11378.49</v>
      </c>
      <c r="C5" s="16">
        <v>242889.42</v>
      </c>
      <c r="F5" s="11" t="s">
        <v>7</v>
      </c>
      <c r="G5" s="16">
        <v>115304</v>
      </c>
      <c r="H5" s="16">
        <v>59229.120000000003</v>
      </c>
      <c r="I5" s="16">
        <f t="shared" si="0"/>
        <v>174533.12</v>
      </c>
      <c r="L5" s="11" t="s">
        <v>12</v>
      </c>
      <c r="M5" s="16"/>
      <c r="N5" s="16"/>
      <c r="O5" s="11"/>
      <c r="P5" s="11"/>
    </row>
    <row r="6" spans="1:16">
      <c r="A6" s="11" t="s">
        <v>8</v>
      </c>
      <c r="B6" s="16">
        <v>63114.59</v>
      </c>
      <c r="C6" s="16">
        <v>376126.31</v>
      </c>
      <c r="F6" s="11" t="s">
        <v>8</v>
      </c>
      <c r="G6" s="16">
        <v>157880.64000000001</v>
      </c>
      <c r="H6" s="16">
        <v>93559.69</v>
      </c>
      <c r="I6" s="16">
        <f t="shared" si="0"/>
        <v>251440.33000000002</v>
      </c>
      <c r="L6" s="11" t="s">
        <v>15</v>
      </c>
      <c r="M6" s="16"/>
      <c r="N6" s="16"/>
      <c r="O6" s="11"/>
      <c r="P6" s="11"/>
    </row>
    <row r="7" spans="1:16">
      <c r="A7" s="11" t="s">
        <v>10</v>
      </c>
      <c r="B7" s="16"/>
      <c r="C7" s="16"/>
      <c r="F7" s="11" t="s">
        <v>10</v>
      </c>
      <c r="G7" s="31"/>
      <c r="H7" s="39"/>
      <c r="I7" s="16"/>
      <c r="L7" s="11" t="s">
        <v>17</v>
      </c>
      <c r="M7" s="16"/>
      <c r="N7" s="16"/>
      <c r="O7" s="11"/>
      <c r="P7" s="11"/>
    </row>
    <row r="8" spans="1:16">
      <c r="A8" s="11" t="s">
        <v>11</v>
      </c>
      <c r="B8" s="16"/>
      <c r="C8" s="16"/>
      <c r="F8" s="11" t="s">
        <v>11</v>
      </c>
      <c r="G8" s="16"/>
      <c r="H8" s="16"/>
      <c r="I8" s="16"/>
      <c r="L8" s="11" t="s">
        <v>19</v>
      </c>
      <c r="M8" s="16"/>
      <c r="N8" s="16"/>
      <c r="O8" s="11"/>
      <c r="P8" s="11"/>
    </row>
    <row r="9" spans="1:16">
      <c r="A9" s="11" t="s">
        <v>12</v>
      </c>
      <c r="B9" s="16"/>
      <c r="C9" s="16"/>
      <c r="F9" s="11" t="s">
        <v>12</v>
      </c>
      <c r="G9" s="16"/>
      <c r="H9" s="16"/>
      <c r="I9" s="16"/>
      <c r="L9" s="17" t="s">
        <v>20</v>
      </c>
      <c r="M9" s="18">
        <f>SUM(M3:M8)</f>
        <v>1240</v>
      </c>
      <c r="N9" s="18">
        <f>SUM(N3:N8)</f>
        <v>1339.2</v>
      </c>
      <c r="O9" s="18">
        <f t="shared" ref="O9:P9" si="1">SUM(O3:O8)</f>
        <v>121.6</v>
      </c>
      <c r="P9" s="40">
        <f t="shared" si="1"/>
        <v>2</v>
      </c>
    </row>
    <row r="10" spans="1:16">
      <c r="A10" s="11" t="s">
        <v>14</v>
      </c>
      <c r="B10" s="16"/>
      <c r="C10" s="16"/>
      <c r="F10" s="11" t="s">
        <v>14</v>
      </c>
      <c r="G10" s="16"/>
      <c r="H10" s="16"/>
      <c r="I10" s="16"/>
    </row>
    <row r="11" spans="1:16">
      <c r="A11" s="11" t="s">
        <v>15</v>
      </c>
      <c r="B11" s="16"/>
      <c r="C11" s="16"/>
      <c r="F11" s="11" t="s">
        <v>15</v>
      </c>
      <c r="G11" s="31"/>
      <c r="H11" s="31"/>
      <c r="I11" s="16"/>
    </row>
    <row r="12" spans="1:16">
      <c r="A12" s="11" t="s">
        <v>16</v>
      </c>
      <c r="B12" s="16"/>
      <c r="C12" s="16"/>
      <c r="F12" s="11" t="s">
        <v>16</v>
      </c>
      <c r="G12" s="16"/>
      <c r="H12" s="16"/>
      <c r="I12" s="16"/>
    </row>
    <row r="13" spans="1:16">
      <c r="A13" s="11" t="s">
        <v>17</v>
      </c>
      <c r="B13" s="16"/>
      <c r="C13" s="16"/>
      <c r="F13" s="11" t="s">
        <v>17</v>
      </c>
      <c r="G13" s="16"/>
      <c r="H13" s="39"/>
      <c r="I13" s="16"/>
    </row>
    <row r="14" spans="1:16">
      <c r="A14" s="11" t="s">
        <v>18</v>
      </c>
      <c r="B14" s="39"/>
      <c r="C14" s="16"/>
      <c r="F14" s="11" t="s">
        <v>18</v>
      </c>
      <c r="G14" s="39"/>
      <c r="H14" s="16"/>
      <c r="I14" s="16"/>
    </row>
    <row r="15" spans="1:16">
      <c r="A15" s="2" t="s">
        <v>20</v>
      </c>
      <c r="B15" s="32">
        <f>SUM(B3:B14)</f>
        <v>86391.799999999988</v>
      </c>
      <c r="C15" s="32">
        <f>SUM(C3:C14)</f>
        <v>1156928.3500000001</v>
      </c>
      <c r="F15" s="2" t="s">
        <v>20</v>
      </c>
      <c r="G15" s="32">
        <f>SUM(G3:G14)</f>
        <v>560352.96</v>
      </c>
      <c r="H15" s="32">
        <f t="shared" ref="H15" si="2">SUM(H3:H14)</f>
        <v>320861.93</v>
      </c>
      <c r="I15" s="32">
        <f>SUM(I3:I14)</f>
        <v>881214.89000000013</v>
      </c>
    </row>
    <row r="18" spans="1:16">
      <c r="A18" s="57" t="s">
        <v>109</v>
      </c>
      <c r="B18" s="57"/>
      <c r="C18" s="57"/>
    </row>
    <row r="19" spans="1:16">
      <c r="G19" s="94" t="s">
        <v>87</v>
      </c>
      <c r="H19" s="94"/>
      <c r="I19" s="95" t="s">
        <v>110</v>
      </c>
      <c r="J19" s="95"/>
    </row>
    <row r="20" spans="1:16">
      <c r="A20" s="87" t="s">
        <v>111</v>
      </c>
      <c r="B20" s="87"/>
      <c r="C20" s="68">
        <v>20159.7</v>
      </c>
      <c r="G20" s="94"/>
      <c r="H20" s="94"/>
      <c r="I20" s="67" t="s">
        <v>91</v>
      </c>
      <c r="J20" s="67" t="s">
        <v>92</v>
      </c>
    </row>
    <row r="21" spans="1:16" ht="33.75" customHeight="1">
      <c r="A21" s="87" t="s">
        <v>112</v>
      </c>
      <c r="B21" s="87"/>
      <c r="C21" s="69">
        <v>7356.98</v>
      </c>
      <c r="G21" s="70">
        <v>4010</v>
      </c>
      <c r="H21" s="71" t="s">
        <v>94</v>
      </c>
      <c r="I21" s="72">
        <v>161250</v>
      </c>
      <c r="J21" s="72">
        <v>36293.67</v>
      </c>
    </row>
    <row r="22" spans="1:16" ht="45">
      <c r="A22" s="91"/>
      <c r="B22" s="91"/>
      <c r="C22" s="69"/>
      <c r="G22" s="70">
        <v>4110</v>
      </c>
      <c r="H22" s="74" t="s">
        <v>96</v>
      </c>
      <c r="I22" s="72">
        <v>32244</v>
      </c>
      <c r="J22" s="72">
        <v>8482.9699999999993</v>
      </c>
    </row>
    <row r="23" spans="1:16" ht="30" customHeight="1">
      <c r="A23" s="73"/>
      <c r="C23" s="68"/>
      <c r="G23" s="70">
        <v>4120</v>
      </c>
      <c r="H23" s="71" t="s">
        <v>98</v>
      </c>
      <c r="I23" s="72">
        <v>1967</v>
      </c>
      <c r="J23" s="72">
        <v>1222.5999999999999</v>
      </c>
    </row>
    <row r="24" spans="1:16" ht="30" customHeight="1">
      <c r="C24" s="68"/>
      <c r="G24" s="70">
        <v>4040</v>
      </c>
      <c r="H24" s="71" t="s">
        <v>100</v>
      </c>
      <c r="I24" s="72">
        <v>13154.09</v>
      </c>
      <c r="J24" s="72">
        <v>13154.09</v>
      </c>
    </row>
    <row r="25" spans="1:16">
      <c r="C25" s="68"/>
      <c r="G25" s="70">
        <v>4170</v>
      </c>
      <c r="H25" s="75" t="s">
        <v>101</v>
      </c>
      <c r="I25" s="72">
        <v>14595.91</v>
      </c>
      <c r="J25" s="72">
        <v>0</v>
      </c>
    </row>
    <row r="26" spans="1:16">
      <c r="G26" s="70">
        <v>4300</v>
      </c>
      <c r="H26" s="75" t="s">
        <v>102</v>
      </c>
      <c r="I26" s="72">
        <v>5311318.5999999996</v>
      </c>
      <c r="J26" s="72">
        <f>B15+C15+I15+N9+C21+C22+C23+C24+C25</f>
        <v>2133231.2200000002</v>
      </c>
    </row>
    <row r="27" spans="1:16">
      <c r="G27" s="70">
        <v>4430</v>
      </c>
      <c r="H27" s="75" t="s">
        <v>103</v>
      </c>
      <c r="I27" s="72">
        <v>81470.399999999994</v>
      </c>
      <c r="J27" s="72">
        <v>30280.12</v>
      </c>
    </row>
    <row r="28" spans="1:16">
      <c r="G28" s="75"/>
      <c r="H28" s="76" t="s">
        <v>20</v>
      </c>
      <c r="I28" s="77">
        <f>SUM(I21:I27)</f>
        <v>5616000</v>
      </c>
      <c r="J28" s="77">
        <f>SUM(J21:J27)</f>
        <v>2222664.6700000004</v>
      </c>
    </row>
    <row r="30" spans="1:16">
      <c r="A30" s="92" t="s">
        <v>116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</row>
    <row r="32" spans="1:16" ht="78.75">
      <c r="A32" s="61" t="s">
        <v>0</v>
      </c>
      <c r="B32" s="66" t="s">
        <v>107</v>
      </c>
      <c r="C32" s="66" t="s">
        <v>108</v>
      </c>
      <c r="F32" s="60" t="s">
        <v>0</v>
      </c>
      <c r="G32" s="61" t="s">
        <v>45</v>
      </c>
      <c r="H32" s="61" t="s">
        <v>46</v>
      </c>
      <c r="I32" s="61" t="s">
        <v>47</v>
      </c>
      <c r="L32" s="2" t="s">
        <v>0</v>
      </c>
      <c r="M32" s="15" t="s">
        <v>1</v>
      </c>
      <c r="N32" s="15" t="s">
        <v>2</v>
      </c>
      <c r="O32" s="15" t="s">
        <v>49</v>
      </c>
      <c r="P32" s="15" t="s">
        <v>48</v>
      </c>
    </row>
    <row r="33" spans="1:16">
      <c r="A33" s="11" t="s">
        <v>19</v>
      </c>
      <c r="B33" s="16">
        <v>0</v>
      </c>
      <c r="C33" s="16">
        <v>267255.25</v>
      </c>
      <c r="F33" s="11" t="s">
        <v>19</v>
      </c>
      <c r="G33" s="16">
        <v>160876.79999999999</v>
      </c>
      <c r="H33" s="16">
        <v>89494.63</v>
      </c>
      <c r="I33" s="16">
        <f t="shared" ref="I33:I39" si="3">G33+H33</f>
        <v>250371.43</v>
      </c>
      <c r="L33" s="11" t="s">
        <v>7</v>
      </c>
      <c r="M33" s="16">
        <v>1240</v>
      </c>
      <c r="N33" s="16">
        <v>1339.2</v>
      </c>
      <c r="O33" s="11">
        <v>121.6</v>
      </c>
      <c r="P33" s="11">
        <v>2</v>
      </c>
    </row>
    <row r="34" spans="1:16">
      <c r="A34" s="11" t="s">
        <v>3</v>
      </c>
      <c r="B34" s="16">
        <v>11898.72</v>
      </c>
      <c r="C34" s="16">
        <v>270657.37</v>
      </c>
      <c r="F34" s="11" t="s">
        <v>3</v>
      </c>
      <c r="G34" s="16">
        <v>126291.52</v>
      </c>
      <c r="H34" s="16">
        <v>78578.490000000005</v>
      </c>
      <c r="I34" s="16">
        <f t="shared" si="3"/>
        <v>204870.01</v>
      </c>
      <c r="L34" s="11" t="s">
        <v>10</v>
      </c>
      <c r="M34" s="23">
        <f>N34/1.08</f>
        <v>1284</v>
      </c>
      <c r="N34" s="16">
        <v>1386.72</v>
      </c>
      <c r="O34" s="16">
        <v>124.8</v>
      </c>
      <c r="P34" s="11">
        <v>3</v>
      </c>
    </row>
    <row r="35" spans="1:16">
      <c r="A35" s="11" t="s">
        <v>7</v>
      </c>
      <c r="B35" s="16">
        <v>11378.49</v>
      </c>
      <c r="C35" s="16">
        <v>242889.42</v>
      </c>
      <c r="F35" s="11" t="s">
        <v>7</v>
      </c>
      <c r="G35" s="16">
        <v>115304</v>
      </c>
      <c r="H35" s="16">
        <v>59229.120000000003</v>
      </c>
      <c r="I35" s="16">
        <f t="shared" si="3"/>
        <v>174533.12</v>
      </c>
      <c r="L35" s="11" t="s">
        <v>12</v>
      </c>
      <c r="M35" s="23">
        <f>N35/1.08</f>
        <v>1224</v>
      </c>
      <c r="N35" s="39">
        <v>1321.92</v>
      </c>
      <c r="O35" s="11">
        <v>120.6</v>
      </c>
      <c r="P35" s="11">
        <v>1.5</v>
      </c>
    </row>
    <row r="36" spans="1:16">
      <c r="A36" s="11" t="s">
        <v>8</v>
      </c>
      <c r="B36" s="16">
        <v>63114.59</v>
      </c>
      <c r="C36" s="16">
        <v>376126.31</v>
      </c>
      <c r="F36" s="11" t="s">
        <v>8</v>
      </c>
      <c r="G36" s="16">
        <v>157880.64000000001</v>
      </c>
      <c r="H36" s="16">
        <v>93559.69</v>
      </c>
      <c r="I36" s="16">
        <f t="shared" si="3"/>
        <v>251440.33000000002</v>
      </c>
      <c r="L36" s="11" t="s">
        <v>15</v>
      </c>
      <c r="M36" s="16"/>
      <c r="N36" s="16"/>
      <c r="O36" s="11"/>
      <c r="P36" s="11"/>
    </row>
    <row r="37" spans="1:16">
      <c r="A37" s="11" t="s">
        <v>10</v>
      </c>
      <c r="B37" s="16">
        <v>77970.11</v>
      </c>
      <c r="C37" s="16">
        <v>294117.19</v>
      </c>
      <c r="F37" s="11" t="s">
        <v>10</v>
      </c>
      <c r="G37" s="16">
        <v>140267.20000000001</v>
      </c>
      <c r="H37" s="78">
        <v>76960.649999999994</v>
      </c>
      <c r="I37" s="16">
        <f t="shared" si="3"/>
        <v>217227.85</v>
      </c>
      <c r="L37" s="11" t="s">
        <v>17</v>
      </c>
      <c r="M37" s="16"/>
      <c r="N37" s="16"/>
      <c r="O37" s="11"/>
      <c r="P37" s="11"/>
    </row>
    <row r="38" spans="1:16">
      <c r="A38" s="11" t="s">
        <v>11</v>
      </c>
      <c r="B38" s="16">
        <v>63853.25</v>
      </c>
      <c r="C38" s="16">
        <v>260973.81</v>
      </c>
      <c r="F38" s="11" t="s">
        <v>11</v>
      </c>
      <c r="G38" s="16">
        <v>125892.48</v>
      </c>
      <c r="H38" s="78">
        <v>64050.29</v>
      </c>
      <c r="I38" s="16">
        <f t="shared" si="3"/>
        <v>189942.77</v>
      </c>
      <c r="L38" s="11" t="s">
        <v>19</v>
      </c>
      <c r="M38" s="16"/>
      <c r="N38" s="16"/>
      <c r="O38" s="11"/>
      <c r="P38" s="11"/>
    </row>
    <row r="39" spans="1:16">
      <c r="A39" s="11" t="s">
        <v>12</v>
      </c>
      <c r="B39" s="16">
        <v>67537.03</v>
      </c>
      <c r="C39" s="16">
        <v>346126.59</v>
      </c>
      <c r="F39" s="11" t="s">
        <v>12</v>
      </c>
      <c r="G39" s="16">
        <v>144192.64000000001</v>
      </c>
      <c r="H39" s="78">
        <v>92524.27</v>
      </c>
      <c r="I39" s="16">
        <f t="shared" si="3"/>
        <v>236716.91000000003</v>
      </c>
      <c r="L39" s="17" t="s">
        <v>20</v>
      </c>
      <c r="M39" s="18">
        <f>SUM(M33:M38)</f>
        <v>3748</v>
      </c>
      <c r="N39" s="18">
        <f>SUM(N33:N38)</f>
        <v>4047.84</v>
      </c>
      <c r="O39" s="18">
        <f t="shared" ref="O39:P39" si="4">SUM(O33:O38)</f>
        <v>367</v>
      </c>
      <c r="P39" s="40">
        <f t="shared" si="4"/>
        <v>6.5</v>
      </c>
    </row>
    <row r="40" spans="1:16">
      <c r="A40" s="11" t="s">
        <v>14</v>
      </c>
      <c r="B40" s="16"/>
      <c r="C40" s="16"/>
      <c r="F40" s="11" t="s">
        <v>14</v>
      </c>
      <c r="G40" s="16"/>
      <c r="H40" s="16"/>
      <c r="I40" s="16"/>
    </row>
    <row r="41" spans="1:16">
      <c r="A41" s="11" t="s">
        <v>15</v>
      </c>
      <c r="B41" s="16"/>
      <c r="C41" s="16"/>
      <c r="F41" s="11" t="s">
        <v>15</v>
      </c>
      <c r="G41" s="31"/>
      <c r="H41" s="31"/>
      <c r="I41" s="16"/>
    </row>
    <row r="42" spans="1:16">
      <c r="A42" s="11" t="s">
        <v>16</v>
      </c>
      <c r="B42" s="16"/>
      <c r="C42" s="16"/>
      <c r="F42" s="11" t="s">
        <v>16</v>
      </c>
      <c r="G42" s="16"/>
      <c r="H42" s="16"/>
      <c r="I42" s="16"/>
    </row>
    <row r="43" spans="1:16">
      <c r="A43" s="11" t="s">
        <v>17</v>
      </c>
      <c r="B43" s="16"/>
      <c r="C43" s="16"/>
      <c r="F43" s="11" t="s">
        <v>17</v>
      </c>
      <c r="G43" s="16"/>
      <c r="H43" s="39"/>
      <c r="I43" s="16"/>
    </row>
    <row r="44" spans="1:16">
      <c r="A44" s="11" t="s">
        <v>18</v>
      </c>
      <c r="B44" s="39"/>
      <c r="C44" s="16"/>
      <c r="F44" s="11" t="s">
        <v>18</v>
      </c>
      <c r="G44" s="39"/>
      <c r="H44" s="16"/>
      <c r="I44" s="16"/>
    </row>
    <row r="45" spans="1:16">
      <c r="A45" s="2" t="s">
        <v>20</v>
      </c>
      <c r="B45" s="32">
        <f>SUM(B33:B44)</f>
        <v>295752.18999999994</v>
      </c>
      <c r="C45" s="32">
        <f>SUM(C33:C44)</f>
        <v>2058145.9400000002</v>
      </c>
      <c r="F45" s="2" t="s">
        <v>20</v>
      </c>
      <c r="G45" s="32">
        <f>SUM(G33:G44)</f>
        <v>970705.27999999991</v>
      </c>
      <c r="H45" s="32">
        <f t="shared" ref="H45" si="5">SUM(H33:H44)</f>
        <v>554397.1399999999</v>
      </c>
      <c r="I45" s="32">
        <f>SUM(I33:I44)</f>
        <v>1525102.4200000004</v>
      </c>
    </row>
    <row r="48" spans="1:16">
      <c r="A48" s="57" t="s">
        <v>114</v>
      </c>
      <c r="B48" s="57"/>
      <c r="C48" s="57"/>
    </row>
    <row r="49" spans="1:10">
      <c r="G49" s="94" t="s">
        <v>87</v>
      </c>
      <c r="H49" s="94"/>
      <c r="I49" s="95" t="s">
        <v>115</v>
      </c>
      <c r="J49" s="95"/>
    </row>
    <row r="50" spans="1:10">
      <c r="A50" t="s">
        <v>111</v>
      </c>
      <c r="C50" s="68">
        <v>40319.4</v>
      </c>
      <c r="G50" s="94"/>
      <c r="H50" s="94"/>
      <c r="I50" s="67" t="s">
        <v>91</v>
      </c>
      <c r="J50" s="67" t="s">
        <v>92</v>
      </c>
    </row>
    <row r="51" spans="1:10" ht="31.5" customHeight="1">
      <c r="A51" t="s">
        <v>112</v>
      </c>
      <c r="C51" s="69">
        <v>8656.9699999999993</v>
      </c>
      <c r="G51" s="70">
        <v>4010</v>
      </c>
      <c r="H51" s="71" t="s">
        <v>94</v>
      </c>
      <c r="I51" s="72">
        <v>161250</v>
      </c>
      <c r="J51" s="72">
        <v>74641.63</v>
      </c>
    </row>
    <row r="52" spans="1:10" ht="45">
      <c r="A52" s="91"/>
      <c r="B52" s="91"/>
      <c r="C52" s="69"/>
      <c r="G52" s="70">
        <v>4110</v>
      </c>
      <c r="H52" s="74" t="s">
        <v>96</v>
      </c>
      <c r="I52" s="72">
        <v>32244</v>
      </c>
      <c r="J52" s="72">
        <v>14955.42</v>
      </c>
    </row>
    <row r="53" spans="1:10" ht="30">
      <c r="A53" s="73"/>
      <c r="C53" s="68"/>
      <c r="G53" s="70">
        <v>4120</v>
      </c>
      <c r="H53" s="71" t="s">
        <v>98</v>
      </c>
      <c r="I53" s="72">
        <v>1967</v>
      </c>
      <c r="J53" s="72">
        <v>1951</v>
      </c>
    </row>
    <row r="54" spans="1:10" ht="30">
      <c r="C54" s="68"/>
      <c r="G54" s="70">
        <v>4040</v>
      </c>
      <c r="H54" s="71" t="s">
        <v>100</v>
      </c>
      <c r="I54" s="72">
        <v>13154.09</v>
      </c>
      <c r="J54" s="72">
        <v>13154.09</v>
      </c>
    </row>
    <row r="55" spans="1:10">
      <c r="C55" s="68"/>
      <c r="G55" s="70">
        <v>4170</v>
      </c>
      <c r="H55" s="75" t="s">
        <v>101</v>
      </c>
      <c r="I55" s="72">
        <v>14595.91</v>
      </c>
      <c r="J55" s="72">
        <v>0</v>
      </c>
    </row>
    <row r="56" spans="1:10">
      <c r="G56" s="70">
        <v>4300</v>
      </c>
      <c r="H56" s="75" t="s">
        <v>102</v>
      </c>
      <c r="I56" s="72">
        <v>5311318.5999999996</v>
      </c>
      <c r="J56" s="72">
        <f>B45+C45+I45+N39+C51+C52+C53+C54+C55</f>
        <v>3891705.3600000003</v>
      </c>
    </row>
    <row r="57" spans="1:10">
      <c r="G57" s="70">
        <v>4430</v>
      </c>
      <c r="H57" s="75" t="s">
        <v>103</v>
      </c>
      <c r="I57" s="72">
        <v>81470.399999999994</v>
      </c>
      <c r="J57" s="72">
        <v>50913.19</v>
      </c>
    </row>
    <row r="58" spans="1:10">
      <c r="G58" s="75"/>
      <c r="H58" s="76" t="s">
        <v>20</v>
      </c>
      <c r="I58" s="77">
        <f>SUM(I51:I57)</f>
        <v>5616000</v>
      </c>
      <c r="J58" s="77">
        <f>SUM(J51:J57)</f>
        <v>4047320.6900000004</v>
      </c>
    </row>
  </sheetData>
  <mergeCells count="10">
    <mergeCell ref="A1:P1"/>
    <mergeCell ref="G49:H50"/>
    <mergeCell ref="I49:J49"/>
    <mergeCell ref="A52:B52"/>
    <mergeCell ref="A30:P30"/>
    <mergeCell ref="G19:H20"/>
    <mergeCell ref="I19:J19"/>
    <mergeCell ref="A22:B22"/>
    <mergeCell ref="A21:B21"/>
    <mergeCell ref="A20:B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CA70D-3FEB-4137-B3D3-F6DDB2AC2109}">
  <dimension ref="A1:O15"/>
  <sheetViews>
    <sheetView workbookViewId="0">
      <selection activeCell="K27" sqref="K27"/>
    </sheetView>
  </sheetViews>
  <sheetFormatPr defaultRowHeight="15"/>
  <cols>
    <col min="2" max="2" width="13.7109375" customWidth="1"/>
    <col min="3" max="3" width="28" customWidth="1"/>
    <col min="4" max="4" width="16" customWidth="1"/>
    <col min="5" max="5" width="19.5703125" customWidth="1"/>
    <col min="12" max="12" width="23" customWidth="1"/>
    <col min="13" max="13" width="26.42578125" customWidth="1"/>
    <col min="14" max="14" width="19.42578125" customWidth="1"/>
    <col min="15" max="15" width="18.28515625" customWidth="1"/>
  </cols>
  <sheetData>
    <row r="1" spans="1:15">
      <c r="A1" s="57" t="s">
        <v>117</v>
      </c>
    </row>
    <row r="5" spans="1:15">
      <c r="K5" s="79"/>
      <c r="L5" s="79"/>
      <c r="M5" s="92"/>
      <c r="N5" s="92"/>
    </row>
    <row r="6" spans="1:15">
      <c r="B6" s="94" t="s">
        <v>87</v>
      </c>
      <c r="C6" s="94"/>
      <c r="D6" s="95" t="s">
        <v>104</v>
      </c>
      <c r="E6" s="95"/>
      <c r="K6" s="79"/>
      <c r="L6" s="94" t="s">
        <v>87</v>
      </c>
      <c r="M6" s="94"/>
      <c r="N6" s="95" t="s">
        <v>115</v>
      </c>
      <c r="O6" s="95"/>
    </row>
    <row r="7" spans="1:15" ht="21" customHeight="1">
      <c r="B7" s="94"/>
      <c r="C7" s="94"/>
      <c r="D7" s="67" t="s">
        <v>91</v>
      </c>
      <c r="E7" s="67" t="s">
        <v>92</v>
      </c>
      <c r="K7" s="65"/>
      <c r="L7" s="94"/>
      <c r="M7" s="94"/>
      <c r="N7" s="67" t="s">
        <v>91</v>
      </c>
      <c r="O7" s="67" t="s">
        <v>92</v>
      </c>
    </row>
    <row r="8" spans="1:15" ht="33" customHeight="1">
      <c r="B8" s="70">
        <v>4010</v>
      </c>
      <c r="C8" s="71" t="s">
        <v>94</v>
      </c>
      <c r="D8" s="72">
        <v>154497.17000000001</v>
      </c>
      <c r="E8" s="72">
        <v>153360.5</v>
      </c>
      <c r="K8" s="65"/>
      <c r="L8" s="70">
        <v>4010</v>
      </c>
      <c r="M8" s="71" t="s">
        <v>94</v>
      </c>
      <c r="N8" s="72">
        <v>161250</v>
      </c>
      <c r="O8" s="72">
        <v>74641.63</v>
      </c>
    </row>
    <row r="9" spans="1:15" ht="14.25" customHeight="1">
      <c r="B9" s="70">
        <v>4110</v>
      </c>
      <c r="C9" s="74" t="s">
        <v>96</v>
      </c>
      <c r="D9" s="72">
        <v>29860.799999999999</v>
      </c>
      <c r="E9" s="72">
        <v>29442.03</v>
      </c>
      <c r="K9" s="65"/>
      <c r="L9" s="70">
        <v>4110</v>
      </c>
      <c r="M9" s="74" t="s">
        <v>96</v>
      </c>
      <c r="N9" s="72">
        <v>32244</v>
      </c>
      <c r="O9" s="72">
        <v>14955.42</v>
      </c>
    </row>
    <row r="10" spans="1:15" ht="19.5" customHeight="1">
      <c r="B10" s="70">
        <v>4120</v>
      </c>
      <c r="C10" s="71" t="s">
        <v>98</v>
      </c>
      <c r="D10" s="72">
        <v>4255.8999999999996</v>
      </c>
      <c r="E10" s="72">
        <v>4178.1899999999996</v>
      </c>
      <c r="K10" s="65"/>
      <c r="L10" s="70">
        <v>4120</v>
      </c>
      <c r="M10" s="71" t="s">
        <v>98</v>
      </c>
      <c r="N10" s="72">
        <v>1967</v>
      </c>
      <c r="O10" s="72">
        <v>1951</v>
      </c>
    </row>
    <row r="11" spans="1:15" ht="30" customHeight="1">
      <c r="B11" s="70">
        <v>4040</v>
      </c>
      <c r="C11" s="71" t="s">
        <v>100</v>
      </c>
      <c r="D11" s="72">
        <v>10971.13</v>
      </c>
      <c r="E11" s="72">
        <v>10971.13</v>
      </c>
      <c r="K11" s="65"/>
      <c r="L11" s="70">
        <v>4040</v>
      </c>
      <c r="M11" s="71" t="s">
        <v>100</v>
      </c>
      <c r="N11" s="72">
        <v>13154.09</v>
      </c>
      <c r="O11" s="72">
        <v>13154.09</v>
      </c>
    </row>
    <row r="12" spans="1:15" ht="20.25" customHeight="1">
      <c r="B12" s="70">
        <v>4170</v>
      </c>
      <c r="C12" s="75" t="s">
        <v>101</v>
      </c>
      <c r="D12" s="72">
        <v>8242.7000000000007</v>
      </c>
      <c r="E12" s="72">
        <v>8242.7000000000007</v>
      </c>
      <c r="K12" s="65"/>
      <c r="L12" s="70">
        <v>4170</v>
      </c>
      <c r="M12" s="80" t="s">
        <v>101</v>
      </c>
      <c r="N12" s="72">
        <v>14595.91</v>
      </c>
      <c r="O12" s="72">
        <v>0</v>
      </c>
    </row>
    <row r="13" spans="1:15">
      <c r="B13" s="70">
        <v>4300</v>
      </c>
      <c r="C13" s="75" t="s">
        <v>102</v>
      </c>
      <c r="D13" s="72">
        <v>5543712.2999999998</v>
      </c>
      <c r="E13" s="72">
        <v>5349308.0099999988</v>
      </c>
      <c r="K13" s="65"/>
      <c r="L13" s="70">
        <v>4300</v>
      </c>
      <c r="M13" s="75" t="s">
        <v>102</v>
      </c>
      <c r="N13" s="72">
        <v>5311318.5999999996</v>
      </c>
      <c r="O13" s="72">
        <v>3891705.3600000003</v>
      </c>
    </row>
    <row r="14" spans="1:15">
      <c r="B14" s="70">
        <v>4430</v>
      </c>
      <c r="C14" s="75" t="s">
        <v>103</v>
      </c>
      <c r="D14" s="72">
        <v>74460</v>
      </c>
      <c r="E14" s="72">
        <v>74460</v>
      </c>
      <c r="L14" s="70">
        <v>4430</v>
      </c>
      <c r="M14" s="75" t="s">
        <v>103</v>
      </c>
      <c r="N14" s="72">
        <v>81470.399999999994</v>
      </c>
      <c r="O14" s="72">
        <v>50913.19</v>
      </c>
    </row>
    <row r="15" spans="1:15">
      <c r="B15" s="75"/>
      <c r="C15" s="76" t="s">
        <v>20</v>
      </c>
      <c r="D15" s="77">
        <f>SUM(D8:D14)</f>
        <v>5826000</v>
      </c>
      <c r="E15" s="77">
        <f>SUM(E8:E14)</f>
        <v>5629962.5599999987</v>
      </c>
      <c r="L15" s="75"/>
      <c r="M15" s="76" t="s">
        <v>20</v>
      </c>
      <c r="N15" s="77">
        <f>SUM(N8:N14)</f>
        <v>5616000</v>
      </c>
      <c r="O15" s="77">
        <f>SUM(O8:O14)</f>
        <v>4047320.6900000004</v>
      </c>
    </row>
  </sheetData>
  <mergeCells count="5">
    <mergeCell ref="M5:N5"/>
    <mergeCell ref="L6:M7"/>
    <mergeCell ref="N6:O6"/>
    <mergeCell ref="B6:C7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Koszty zagospodarowanie i odbió</vt:lpstr>
      <vt:lpstr>Podział odpadów</vt:lpstr>
      <vt:lpstr>teren miejski</vt:lpstr>
      <vt:lpstr>teren wiejski</vt:lpstr>
      <vt:lpstr>Przeterminowane leki</vt:lpstr>
      <vt:lpstr>PSZOK</vt:lpstr>
      <vt:lpstr>MPSZOK</vt:lpstr>
      <vt:lpstr>Stawki PGO Eko Mazury + odbiór</vt:lpstr>
      <vt:lpstr>Kwartalne informacje 2025</vt:lpstr>
      <vt:lpstr>Kwartalne informacje 2026</vt:lpstr>
      <vt:lpstr>Plan finansowy i jego wykonanie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magda.zymkowska</dc:creator>
  <cp:lastModifiedBy>Magda Zymkowska</cp:lastModifiedBy>
  <cp:lastPrinted>2026-09-15T09:19:27Z</cp:lastPrinted>
  <dcterms:created xsi:type="dcterms:W3CDTF">2021-02-08T07:47:31Z</dcterms:created>
  <dcterms:modified xsi:type="dcterms:W3CDTF">2026-09-15T14:04:37Z</dcterms:modified>
</cp:coreProperties>
</file>